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_000\Desktop\"/>
    </mc:Choice>
  </mc:AlternateContent>
  <bookViews>
    <workbookView xWindow="0" yWindow="0" windowWidth="20325" windowHeight="10320"/>
  </bookViews>
  <sheets>
    <sheet name="Tables" sheetId="1" r:id="rId1"/>
    <sheet name="Teifi" sheetId="10" r:id="rId2"/>
    <sheet name="Hafren" sheetId="9" r:id="rId3"/>
    <sheet name="Carneddau" sheetId="8" r:id="rId4"/>
    <sheet name="Foel_Goch" sheetId="7" r:id="rId5"/>
    <sheet name="Gwanas" sheetId="6" r:id="rId6"/>
    <sheet name="Maenarthur" sheetId="5" r:id="rId7"/>
    <sheet name="Allt_Goch" sheetId="4" r:id="rId8"/>
    <sheet name="Mathrafal" sheetId="2" r:id="rId9"/>
    <sheet name="Lookups" sheetId="3" r:id="rId10"/>
  </sheets>
  <externalReferences>
    <externalReference r:id="rId11"/>
  </externalReferences>
  <definedNames>
    <definedName name="_xlnm._FilterDatabase" localSheetId="9" hidden="1">Lookups!$K$1:$L$1</definedName>
    <definedName name="_xlnm._FilterDatabase" localSheetId="0" hidden="1">Tables!$A$31:$Q$31</definedName>
    <definedName name="blue">'[1]class data'!$D$1:$E$32</definedName>
    <definedName name="_xlnm.Print_Area" localSheetId="0">Tables!$A$1:$Q$81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J8" i="1"/>
  <c r="J9" i="1"/>
  <c r="J10" i="1"/>
  <c r="J11" i="1"/>
  <c r="J12" i="1"/>
  <c r="J13" i="1"/>
  <c r="J14" i="1"/>
  <c r="K7" i="1"/>
  <c r="L7" i="1"/>
  <c r="M7" i="1"/>
  <c r="N7" i="1"/>
  <c r="O7" i="1"/>
  <c r="P7" i="1"/>
  <c r="Q7" i="1"/>
  <c r="BF34" i="10"/>
  <c r="BF33" i="10"/>
  <c r="BF32" i="10"/>
  <c r="BF31" i="10"/>
  <c r="BF30" i="10"/>
  <c r="BF28" i="10"/>
  <c r="BF26" i="10"/>
  <c r="BF25" i="10"/>
  <c r="BF22" i="10"/>
  <c r="BF21" i="10"/>
  <c r="BF20" i="10"/>
  <c r="BF19" i="10"/>
  <c r="BF17" i="10"/>
  <c r="BF16" i="10"/>
  <c r="BF13" i="10"/>
  <c r="D103" i="2"/>
  <c r="D102" i="2"/>
  <c r="D101" i="2"/>
  <c r="D100" i="2"/>
  <c r="D99" i="2"/>
  <c r="D98" i="2"/>
  <c r="D97" i="2"/>
  <c r="D96" i="2"/>
  <c r="D95" i="2"/>
  <c r="D94" i="2"/>
  <c r="D93" i="2"/>
  <c r="D92" i="2"/>
  <c r="D91" i="2"/>
  <c r="D90" i="2"/>
  <c r="D86" i="2"/>
  <c r="D85" i="2"/>
  <c r="D84" i="2"/>
  <c r="D83" i="2"/>
  <c r="D82" i="2"/>
  <c r="D81" i="2"/>
  <c r="D80" i="2"/>
  <c r="D79" i="2"/>
  <c r="D78" i="2"/>
  <c r="D77" i="2"/>
  <c r="D76" i="2"/>
  <c r="D75" i="2"/>
  <c r="D74" i="2"/>
  <c r="D73" i="2"/>
  <c r="D72" i="2"/>
  <c r="D71" i="2"/>
  <c r="D70" i="2"/>
  <c r="D69" i="2"/>
  <c r="D68" i="2"/>
  <c r="D67" i="2"/>
  <c r="D66" i="2"/>
  <c r="D65" i="2"/>
  <c r="D61" i="2"/>
  <c r="D60" i="2"/>
  <c r="D59" i="2"/>
  <c r="D58" i="2"/>
  <c r="D57" i="2"/>
  <c r="D56" i="2"/>
  <c r="D55" i="2"/>
  <c r="D54" i="2"/>
  <c r="D53" i="2"/>
  <c r="D52" i="2"/>
  <c r="D51" i="2"/>
  <c r="D50" i="2"/>
  <c r="D49" i="2"/>
  <c r="D48" i="2"/>
  <c r="D47" i="2"/>
  <c r="D46" i="2"/>
  <c r="D45" i="2"/>
  <c r="D44" i="2"/>
  <c r="D43" i="2"/>
  <c r="D42" i="2"/>
  <c r="D41" i="2"/>
  <c r="D40" i="2"/>
  <c r="D39" i="2"/>
  <c r="D38"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J17" i="1"/>
  <c r="AF10" i="10"/>
  <c r="AF11" i="10"/>
  <c r="AF12" i="10"/>
  <c r="AF13" i="10"/>
  <c r="AF14" i="10"/>
  <c r="AF15" i="10"/>
  <c r="AF16" i="10"/>
  <c r="AF17" i="10"/>
  <c r="AF18" i="10"/>
  <c r="AF19" i="10"/>
  <c r="AF20" i="10"/>
  <c r="AF21" i="10"/>
  <c r="AF22" i="10"/>
  <c r="AF23" i="10"/>
  <c r="AF24" i="10"/>
  <c r="AF25" i="10"/>
  <c r="AF26" i="10"/>
  <c r="AF27" i="10"/>
  <c r="AF28" i="10"/>
  <c r="AF29" i="10"/>
  <c r="AF30" i="10"/>
  <c r="AF31" i="10"/>
  <c r="AF32" i="10"/>
  <c r="AF33" i="10"/>
  <c r="AF34" i="10"/>
  <c r="AF9" i="10"/>
  <c r="AD8" i="10"/>
  <c r="AD9" i="10"/>
  <c r="AD10" i="10"/>
  <c r="AD11" i="10"/>
  <c r="AD12" i="10"/>
  <c r="AD13" i="10"/>
  <c r="AD14" i="10"/>
  <c r="AD15" i="10"/>
  <c r="AD16" i="10"/>
  <c r="AD17" i="10"/>
  <c r="AD18" i="10"/>
  <c r="AD19" i="10"/>
  <c r="AD20" i="10"/>
  <c r="AD21" i="10"/>
  <c r="AD22" i="10"/>
  <c r="AD23" i="10"/>
  <c r="AD24" i="10"/>
  <c r="AD25" i="10"/>
  <c r="AD26" i="10"/>
  <c r="AD27" i="10"/>
  <c r="AD28" i="10"/>
  <c r="AD29" i="10"/>
  <c r="AD30" i="10"/>
  <c r="AD31" i="10"/>
  <c r="AD32" i="10"/>
  <c r="AD33" i="10"/>
  <c r="AD34" i="10"/>
  <c r="AD7" i="10"/>
  <c r="AE34" i="10"/>
  <c r="AC34" i="10"/>
  <c r="AH34" i="10" s="1"/>
  <c r="AA34" i="10"/>
  <c r="AH33" i="10"/>
  <c r="AE33" i="10"/>
  <c r="AC33" i="10"/>
  <c r="AG33" i="10" s="1"/>
  <c r="AA33" i="10"/>
  <c r="AC32" i="10"/>
  <c r="AA32" i="10"/>
  <c r="AC31" i="10"/>
  <c r="AE31" i="10" s="1"/>
  <c r="AA31" i="10"/>
  <c r="AE30" i="10"/>
  <c r="AC30" i="10"/>
  <c r="AH30" i="10" s="1"/>
  <c r="AA30" i="10"/>
  <c r="AH29" i="10"/>
  <c r="AE29" i="10"/>
  <c r="AC29" i="10"/>
  <c r="AG29" i="10" s="1"/>
  <c r="AA29" i="10"/>
  <c r="AC28" i="10"/>
  <c r="AA28" i="10"/>
  <c r="AC27" i="10"/>
  <c r="AE27" i="10" s="1"/>
  <c r="AA27" i="10"/>
  <c r="AE26" i="10"/>
  <c r="AC26" i="10"/>
  <c r="AH26" i="10" s="1"/>
  <c r="AA26" i="10"/>
  <c r="AH25" i="10"/>
  <c r="AE25" i="10"/>
  <c r="AC25" i="10"/>
  <c r="AG25" i="10" s="1"/>
  <c r="AA25" i="10"/>
  <c r="AC24" i="10"/>
  <c r="AA24" i="10"/>
  <c r="AC23" i="10"/>
  <c r="AE23" i="10" s="1"/>
  <c r="AA23" i="10"/>
  <c r="AE22" i="10"/>
  <c r="AC22" i="10"/>
  <c r="AH22" i="10" s="1"/>
  <c r="AA22" i="10"/>
  <c r="AH21" i="10"/>
  <c r="AE21" i="10"/>
  <c r="AC21" i="10"/>
  <c r="AG21" i="10" s="1"/>
  <c r="AA21" i="10"/>
  <c r="AC20" i="10"/>
  <c r="AE19" i="10"/>
  <c r="AC19" i="10"/>
  <c r="AH19" i="10" s="1"/>
  <c r="AA19" i="10"/>
  <c r="AA18" i="10"/>
  <c r="AC18" i="10" s="1"/>
  <c r="AC17" i="10"/>
  <c r="AA17" i="10"/>
  <c r="AC16" i="10"/>
  <c r="AE16" i="10" s="1"/>
  <c r="AA16" i="10"/>
  <c r="AE15" i="10"/>
  <c r="AC15" i="10"/>
  <c r="AH15" i="10" s="1"/>
  <c r="AA15" i="10"/>
  <c r="AH14" i="10"/>
  <c r="AE14" i="10"/>
  <c r="AC14" i="10"/>
  <c r="AG14" i="10" s="1"/>
  <c r="AA14" i="10"/>
  <c r="AC13" i="10"/>
  <c r="AA13" i="10"/>
  <c r="AA12" i="10"/>
  <c r="AC12" i="10" s="1"/>
  <c r="AE11" i="10"/>
  <c r="AC11" i="10"/>
  <c r="AH11" i="10" s="1"/>
  <c r="AA11" i="10"/>
  <c r="AH10" i="10"/>
  <c r="AE10" i="10"/>
  <c r="AC10" i="10"/>
  <c r="AG10" i="10" s="1"/>
  <c r="AA10" i="10"/>
  <c r="AC9" i="10"/>
  <c r="AA9" i="10"/>
  <c r="AF8" i="10"/>
  <c r="AC8" i="10"/>
  <c r="AE8" i="10" s="1"/>
  <c r="AA8" i="10"/>
  <c r="AA7" i="10"/>
  <c r="AC7" i="10" s="1"/>
  <c r="AH7" i="10" l="1"/>
  <c r="AG7" i="10"/>
  <c r="AE7" i="10"/>
  <c r="AF7" i="10"/>
  <c r="AE12" i="10"/>
  <c r="AG12" i="10"/>
  <c r="AH12" i="10"/>
  <c r="AG18" i="10"/>
  <c r="AE18" i="10"/>
  <c r="AH18" i="10"/>
  <c r="AG9" i="10"/>
  <c r="AG13" i="10"/>
  <c r="AG17" i="10"/>
  <c r="AG24" i="10"/>
  <c r="AG28" i="10"/>
  <c r="AG8" i="10"/>
  <c r="AH9" i="10"/>
  <c r="AG16" i="10"/>
  <c r="AH17" i="10"/>
  <c r="AH20" i="10"/>
  <c r="AG23" i="10"/>
  <c r="AH24" i="10"/>
  <c r="AG11" i="10"/>
  <c r="AE13" i="10"/>
  <c r="AG15" i="10"/>
  <c r="AH16" i="10"/>
  <c r="AE17" i="10"/>
  <c r="AG22" i="10"/>
  <c r="AH23" i="10"/>
  <c r="AE24" i="10"/>
  <c r="AG26" i="10"/>
  <c r="AH27" i="10"/>
  <c r="AE28" i="10"/>
  <c r="AG30" i="10"/>
  <c r="AH31" i="10"/>
  <c r="AE32" i="10"/>
  <c r="AG34" i="10"/>
  <c r="AG20" i="10"/>
  <c r="AG32" i="10"/>
  <c r="AH13" i="10"/>
  <c r="AG27" i="10"/>
  <c r="AH28" i="10"/>
  <c r="AG31" i="10"/>
  <c r="AH32" i="10"/>
  <c r="AH8" i="10"/>
  <c r="AE9" i="10"/>
  <c r="AG19" i="10"/>
  <c r="AE20" i="10"/>
  <c r="F45" i="10"/>
  <c r="G45" i="10" s="1"/>
  <c r="J45" i="10"/>
  <c r="F46" i="10"/>
  <c r="J46" i="10"/>
  <c r="F47" i="10"/>
  <c r="J47" i="10"/>
  <c r="F48" i="10"/>
  <c r="J48" i="10"/>
  <c r="F49" i="10"/>
  <c r="J49" i="10"/>
  <c r="F50" i="10"/>
  <c r="J50" i="10"/>
  <c r="F51" i="10"/>
  <c r="J51" i="10"/>
  <c r="F52" i="10"/>
  <c r="J52" i="10"/>
  <c r="F44" i="10"/>
  <c r="G44" i="10" s="1"/>
  <c r="J44" i="10"/>
  <c r="F54" i="10"/>
  <c r="J54" i="10"/>
  <c r="F46" i="9"/>
  <c r="G46" i="9" s="1"/>
  <c r="J46" i="9"/>
  <c r="F47" i="9"/>
  <c r="G47" i="9" s="1"/>
  <c r="J47" i="9"/>
  <c r="F48" i="9"/>
  <c r="G48" i="9" s="1"/>
  <c r="J48" i="9"/>
  <c r="F49" i="9"/>
  <c r="G49" i="9" s="1"/>
  <c r="I49" i="9"/>
  <c r="J49" i="9"/>
  <c r="F47" i="8"/>
  <c r="G47" i="8" s="1"/>
  <c r="H47" i="8"/>
  <c r="J47" i="8"/>
  <c r="K47" i="8"/>
  <c r="F48" i="8"/>
  <c r="I47" i="8" s="1"/>
  <c r="H48" i="8"/>
  <c r="J48" i="8"/>
  <c r="K48" i="8"/>
  <c r="F49" i="8"/>
  <c r="I48" i="8" s="1"/>
  <c r="L50" i="1" s="1"/>
  <c r="H49" i="8"/>
  <c r="J49" i="8"/>
  <c r="K49" i="8"/>
  <c r="F50" i="8"/>
  <c r="I49" i="8" s="1"/>
  <c r="H50" i="8"/>
  <c r="J50" i="8"/>
  <c r="K50" i="8"/>
  <c r="F51" i="8"/>
  <c r="I50" i="8" s="1"/>
  <c r="H51" i="8"/>
  <c r="I51" i="8"/>
  <c r="K51" i="8"/>
  <c r="F46" i="7"/>
  <c r="H46" i="7" s="1"/>
  <c r="G46" i="7"/>
  <c r="J46" i="7"/>
  <c r="F47" i="7"/>
  <c r="H47" i="7" s="1"/>
  <c r="G47" i="7"/>
  <c r="J47" i="7"/>
  <c r="F48" i="7"/>
  <c r="H48" i="7" s="1"/>
  <c r="G48" i="7"/>
  <c r="J48" i="7"/>
  <c r="F49" i="7"/>
  <c r="H49" i="7" s="1"/>
  <c r="G49" i="7"/>
  <c r="J49" i="7"/>
  <c r="F50" i="7"/>
  <c r="H50" i="7" s="1"/>
  <c r="G50" i="7"/>
  <c r="J50" i="7"/>
  <c r="F51" i="7"/>
  <c r="H51" i="7" s="1"/>
  <c r="G51" i="7"/>
  <c r="I51" i="7"/>
  <c r="J51" i="7"/>
  <c r="F49" i="6"/>
  <c r="G49" i="6" s="1"/>
  <c r="H49" i="6"/>
  <c r="J49" i="6"/>
  <c r="K49" i="6"/>
  <c r="F50" i="6"/>
  <c r="I49" i="6" s="1"/>
  <c r="H50" i="6"/>
  <c r="J50" i="6"/>
  <c r="K50" i="6"/>
  <c r="F51" i="6"/>
  <c r="I50" i="6" s="1"/>
  <c r="H51" i="6"/>
  <c r="J51" i="6"/>
  <c r="K51" i="6"/>
  <c r="F52" i="6"/>
  <c r="I51" i="6" s="1"/>
  <c r="N54" i="1" s="1"/>
  <c r="H52" i="6"/>
  <c r="I52" i="6"/>
  <c r="J52" i="6"/>
  <c r="K52" i="6"/>
  <c r="F49" i="5"/>
  <c r="H49" i="5" s="1"/>
  <c r="G49" i="5"/>
  <c r="J49" i="5"/>
  <c r="F50" i="5"/>
  <c r="H50" i="5" s="1"/>
  <c r="G50" i="5"/>
  <c r="I50" i="5"/>
  <c r="O54" i="1" s="1"/>
  <c r="J50" i="5"/>
  <c r="F48" i="4"/>
  <c r="G48" i="4" s="1"/>
  <c r="J48" i="4"/>
  <c r="F49" i="4"/>
  <c r="G49" i="4" s="1"/>
  <c r="J49" i="4"/>
  <c r="E50" i="1"/>
  <c r="F18" i="2"/>
  <c r="G18" i="2"/>
  <c r="J18" i="2"/>
  <c r="F19" i="4"/>
  <c r="G19" i="4" s="1"/>
  <c r="J19" i="4"/>
  <c r="F18" i="5"/>
  <c r="G18" i="5" s="1"/>
  <c r="J18" i="5"/>
  <c r="F20" i="8"/>
  <c r="G20" i="8" s="1"/>
  <c r="J20" i="8"/>
  <c r="F21" i="8"/>
  <c r="G21" i="8"/>
  <c r="J21" i="8"/>
  <c r="F18" i="9"/>
  <c r="G18" i="9" s="1"/>
  <c r="J18" i="9"/>
  <c r="J27" i="1"/>
  <c r="R20" i="10"/>
  <c r="S20" i="10"/>
  <c r="V20" i="10"/>
  <c r="R21" i="10"/>
  <c r="S21" i="10" s="1"/>
  <c r="R22" i="10"/>
  <c r="S22" i="10" s="1"/>
  <c r="R23" i="10"/>
  <c r="S23" i="10" s="1"/>
  <c r="R24" i="10"/>
  <c r="S24" i="10" s="1"/>
  <c r="E27" i="1"/>
  <c r="N27" i="1"/>
  <c r="E54" i="1"/>
  <c r="Q54" i="1"/>
  <c r="E44" i="1"/>
  <c r="G54" i="8"/>
  <c r="J54" i="8"/>
  <c r="F54" i="8"/>
  <c r="F56" i="8"/>
  <c r="F57" i="8"/>
  <c r="F58" i="8"/>
  <c r="F59" i="8"/>
  <c r="F60" i="8"/>
  <c r="D55" i="8"/>
  <c r="F55" i="8" s="1"/>
  <c r="E80" i="1"/>
  <c r="E76" i="1"/>
  <c r="E82" i="1"/>
  <c r="E81" i="1"/>
  <c r="E79" i="1"/>
  <c r="E78" i="1"/>
  <c r="E77" i="1"/>
  <c r="E72" i="1"/>
  <c r="E71" i="1"/>
  <c r="E70" i="1"/>
  <c r="E69" i="1"/>
  <c r="E68" i="1"/>
  <c r="E67" i="1"/>
  <c r="E66" i="1"/>
  <c r="E65" i="1"/>
  <c r="E64" i="1"/>
  <c r="E63" i="1"/>
  <c r="E62" i="1"/>
  <c r="E61" i="1"/>
  <c r="E60" i="1"/>
  <c r="E59" i="1"/>
  <c r="E58" i="1"/>
  <c r="E33" i="1"/>
  <c r="E34" i="1"/>
  <c r="E35" i="1"/>
  <c r="E36" i="1"/>
  <c r="E37" i="1"/>
  <c r="E38" i="1"/>
  <c r="E39" i="1"/>
  <c r="E40" i="1"/>
  <c r="E41" i="1"/>
  <c r="E42" i="1"/>
  <c r="E43" i="1"/>
  <c r="E45" i="1"/>
  <c r="E46" i="1"/>
  <c r="E47" i="1"/>
  <c r="E48" i="1"/>
  <c r="E49" i="1"/>
  <c r="E51" i="1"/>
  <c r="E52" i="1"/>
  <c r="E53" i="1"/>
  <c r="E32" i="1"/>
  <c r="E6" i="1"/>
  <c r="E7" i="1"/>
  <c r="E8" i="1"/>
  <c r="E9" i="1"/>
  <c r="E10" i="1"/>
  <c r="E11" i="1"/>
  <c r="E12" i="1"/>
  <c r="E14" i="1"/>
  <c r="E15" i="1"/>
  <c r="E16" i="1"/>
  <c r="E13" i="1"/>
  <c r="E17" i="1"/>
  <c r="E18" i="1"/>
  <c r="E19" i="1"/>
  <c r="E20" i="1"/>
  <c r="E21" i="1"/>
  <c r="E22" i="1"/>
  <c r="E23" i="1"/>
  <c r="E24" i="1"/>
  <c r="E25" i="1"/>
  <c r="E26" i="1"/>
  <c r="E28" i="1"/>
  <c r="D103" i="4"/>
  <c r="D102" i="4"/>
  <c r="D101" i="4"/>
  <c r="D100" i="4"/>
  <c r="D99" i="4"/>
  <c r="D98" i="4"/>
  <c r="D97" i="4"/>
  <c r="D96" i="4"/>
  <c r="D95" i="4"/>
  <c r="D94" i="4"/>
  <c r="D93" i="4"/>
  <c r="D92" i="4"/>
  <c r="D91" i="4"/>
  <c r="D90" i="4"/>
  <c r="D86" i="4"/>
  <c r="D85" i="4"/>
  <c r="D84" i="4"/>
  <c r="D83" i="4"/>
  <c r="D82" i="4"/>
  <c r="D81" i="4"/>
  <c r="D80" i="4"/>
  <c r="D79" i="4"/>
  <c r="D78" i="4"/>
  <c r="D77" i="4"/>
  <c r="D76" i="4"/>
  <c r="D75" i="4"/>
  <c r="D74" i="4"/>
  <c r="D73" i="4"/>
  <c r="D72" i="4"/>
  <c r="D71" i="4"/>
  <c r="D70" i="4"/>
  <c r="D69" i="4"/>
  <c r="D68" i="4"/>
  <c r="D67" i="4"/>
  <c r="D66" i="4"/>
  <c r="D62" i="4"/>
  <c r="D61" i="4"/>
  <c r="D60" i="4"/>
  <c r="D59" i="4"/>
  <c r="D58" i="4"/>
  <c r="D57" i="4"/>
  <c r="D56" i="4"/>
  <c r="D55" i="4"/>
  <c r="D54" i="4"/>
  <c r="D53" i="4"/>
  <c r="D52" i="4"/>
  <c r="D51" i="4"/>
  <c r="D50" i="4"/>
  <c r="D47" i="4"/>
  <c r="D46" i="4"/>
  <c r="D45" i="4"/>
  <c r="D44" i="4"/>
  <c r="D43" i="4"/>
  <c r="D42" i="4"/>
  <c r="D41" i="4"/>
  <c r="D40" i="4"/>
  <c r="D39" i="4"/>
  <c r="D38" i="4"/>
  <c r="D34" i="4"/>
  <c r="D33" i="4"/>
  <c r="D32" i="4"/>
  <c r="D31" i="4"/>
  <c r="D30" i="4"/>
  <c r="D29" i="4"/>
  <c r="D28" i="4"/>
  <c r="D27" i="4"/>
  <c r="D26" i="4"/>
  <c r="D25" i="4"/>
  <c r="D24" i="4"/>
  <c r="D23" i="4"/>
  <c r="D22" i="4"/>
  <c r="D21" i="4"/>
  <c r="D20" i="4"/>
  <c r="D18" i="4"/>
  <c r="D17" i="4"/>
  <c r="D16" i="4"/>
  <c r="D15" i="4"/>
  <c r="D14" i="4"/>
  <c r="D13" i="4"/>
  <c r="D12" i="4"/>
  <c r="D11" i="4"/>
  <c r="D10" i="4"/>
  <c r="D9" i="4"/>
  <c r="D8" i="4"/>
  <c r="D7" i="4"/>
  <c r="D102" i="5"/>
  <c r="D101" i="5"/>
  <c r="D100" i="5"/>
  <c r="D99" i="5"/>
  <c r="D98" i="5"/>
  <c r="D97" i="5"/>
  <c r="D96" i="5"/>
  <c r="D95" i="5"/>
  <c r="D94" i="5"/>
  <c r="D93" i="5"/>
  <c r="D92" i="5"/>
  <c r="D91" i="5"/>
  <c r="D90" i="5"/>
  <c r="D89" i="5"/>
  <c r="D85" i="5"/>
  <c r="D84" i="5"/>
  <c r="D83" i="5"/>
  <c r="D82" i="5"/>
  <c r="D81" i="5"/>
  <c r="D80" i="5"/>
  <c r="D79" i="5"/>
  <c r="D78" i="5"/>
  <c r="D77" i="5"/>
  <c r="D76" i="5"/>
  <c r="D75" i="5"/>
  <c r="D74" i="5"/>
  <c r="D73" i="5"/>
  <c r="D72" i="5"/>
  <c r="D71" i="5"/>
  <c r="D70" i="5"/>
  <c r="D69" i="5"/>
  <c r="D68" i="5"/>
  <c r="D67" i="5"/>
  <c r="D66" i="5"/>
  <c r="D62" i="5"/>
  <c r="D61" i="5"/>
  <c r="D60" i="5"/>
  <c r="D59" i="5"/>
  <c r="D58" i="5"/>
  <c r="D57" i="5"/>
  <c r="D56" i="5"/>
  <c r="D55" i="5"/>
  <c r="D54" i="5"/>
  <c r="D53" i="5"/>
  <c r="D52" i="5"/>
  <c r="D51" i="5"/>
  <c r="D48" i="5"/>
  <c r="D47" i="5"/>
  <c r="D46" i="5"/>
  <c r="D45" i="5"/>
  <c r="D44" i="5"/>
  <c r="D43" i="5"/>
  <c r="D42" i="5"/>
  <c r="D41" i="5"/>
  <c r="D40" i="5"/>
  <c r="D39" i="5"/>
  <c r="D38" i="5"/>
  <c r="D34" i="5"/>
  <c r="D33" i="5"/>
  <c r="D32" i="5"/>
  <c r="D31" i="5"/>
  <c r="D30" i="5"/>
  <c r="D29" i="5"/>
  <c r="D28" i="5"/>
  <c r="D27" i="5"/>
  <c r="D26" i="5"/>
  <c r="D25" i="5"/>
  <c r="D24" i="5"/>
  <c r="D23" i="5"/>
  <c r="D22" i="5"/>
  <c r="D21" i="5"/>
  <c r="D20" i="5"/>
  <c r="D19" i="5"/>
  <c r="D17" i="5"/>
  <c r="D16" i="5"/>
  <c r="D15" i="5"/>
  <c r="D14" i="5"/>
  <c r="D13" i="5"/>
  <c r="D12" i="5"/>
  <c r="D11" i="5"/>
  <c r="D10" i="5"/>
  <c r="D9" i="5"/>
  <c r="D8" i="5"/>
  <c r="D7" i="5"/>
  <c r="D102" i="6"/>
  <c r="D101" i="6"/>
  <c r="D100" i="6"/>
  <c r="D99" i="6"/>
  <c r="D98" i="6"/>
  <c r="D97" i="6"/>
  <c r="D96" i="6"/>
  <c r="D95" i="6"/>
  <c r="D94" i="6"/>
  <c r="D93" i="6"/>
  <c r="D92" i="6"/>
  <c r="D91" i="6"/>
  <c r="D90" i="6"/>
  <c r="D89" i="6"/>
  <c r="D85" i="6"/>
  <c r="D84" i="6"/>
  <c r="D83" i="6"/>
  <c r="D82" i="6"/>
  <c r="D81" i="6"/>
  <c r="D80" i="6"/>
  <c r="D79" i="6"/>
  <c r="D78" i="6"/>
  <c r="D77" i="6"/>
  <c r="D76" i="6"/>
  <c r="D75" i="6"/>
  <c r="D74" i="6"/>
  <c r="D73" i="6"/>
  <c r="D72" i="6"/>
  <c r="D71" i="6"/>
  <c r="D70" i="6"/>
  <c r="D69" i="6"/>
  <c r="D68" i="6"/>
  <c r="D67" i="6"/>
  <c r="D66" i="6"/>
  <c r="D62" i="6"/>
  <c r="D61" i="6"/>
  <c r="D60" i="6"/>
  <c r="D59" i="6"/>
  <c r="D58" i="6"/>
  <c r="D57" i="6"/>
  <c r="D56" i="6"/>
  <c r="D55" i="6"/>
  <c r="D54" i="6"/>
  <c r="D53" i="6"/>
  <c r="D52" i="6"/>
  <c r="D50" i="6"/>
  <c r="D48" i="6"/>
  <c r="D47" i="6"/>
  <c r="D46" i="6"/>
  <c r="D45" i="6"/>
  <c r="D44" i="6"/>
  <c r="D43" i="6"/>
  <c r="D42" i="6"/>
  <c r="D41" i="6"/>
  <c r="D40" i="6"/>
  <c r="D39" i="6"/>
  <c r="D38" i="6"/>
  <c r="AB34" i="6"/>
  <c r="AB33" i="6"/>
  <c r="AB32" i="6"/>
  <c r="AB31" i="6"/>
  <c r="AB30" i="6"/>
  <c r="AB29" i="6"/>
  <c r="AB28" i="6"/>
  <c r="AB27" i="6"/>
  <c r="AB26" i="6"/>
  <c r="AB25" i="6"/>
  <c r="AB24" i="6"/>
  <c r="AB23" i="6"/>
  <c r="AB22" i="6"/>
  <c r="AB21" i="6"/>
  <c r="AB20" i="6"/>
  <c r="AB18" i="6"/>
  <c r="AB17" i="6"/>
  <c r="AB16" i="6"/>
  <c r="AB15" i="6"/>
  <c r="AB14" i="6"/>
  <c r="AB13" i="6"/>
  <c r="AB12" i="6"/>
  <c r="AB11" i="6"/>
  <c r="AB10" i="6"/>
  <c r="AB9" i="6"/>
  <c r="AB8" i="6"/>
  <c r="AB7" i="6"/>
  <c r="P34" i="6"/>
  <c r="P33" i="6"/>
  <c r="P32" i="6"/>
  <c r="P31" i="6"/>
  <c r="P30" i="6"/>
  <c r="P29" i="6"/>
  <c r="P28" i="6"/>
  <c r="P27" i="6"/>
  <c r="P26" i="6"/>
  <c r="P25" i="6"/>
  <c r="P24" i="6"/>
  <c r="P23" i="6"/>
  <c r="P22" i="6"/>
  <c r="P21" i="6"/>
  <c r="P20" i="6"/>
  <c r="P18" i="6"/>
  <c r="P17" i="6"/>
  <c r="P16" i="6"/>
  <c r="P15" i="6"/>
  <c r="P14" i="6"/>
  <c r="P13" i="6"/>
  <c r="P12" i="6"/>
  <c r="P11" i="6"/>
  <c r="P10" i="6"/>
  <c r="P9" i="6"/>
  <c r="P8" i="6"/>
  <c r="P7" i="6"/>
  <c r="D34" i="6"/>
  <c r="D33" i="6"/>
  <c r="D32" i="6"/>
  <c r="D31" i="6"/>
  <c r="D30" i="6"/>
  <c r="D29" i="6"/>
  <c r="D28" i="6"/>
  <c r="D27" i="6"/>
  <c r="D26" i="6"/>
  <c r="D25" i="6"/>
  <c r="D24" i="6"/>
  <c r="D23" i="6"/>
  <c r="D22" i="6"/>
  <c r="D21" i="6"/>
  <c r="D20" i="6"/>
  <c r="D18" i="6"/>
  <c r="D17" i="6"/>
  <c r="D16" i="6"/>
  <c r="D15" i="6"/>
  <c r="D14" i="6"/>
  <c r="D13" i="6"/>
  <c r="D12" i="6"/>
  <c r="D11" i="6"/>
  <c r="D10" i="6"/>
  <c r="D9" i="6"/>
  <c r="D8" i="6"/>
  <c r="D7" i="6"/>
  <c r="D98" i="7"/>
  <c r="D97" i="7"/>
  <c r="D96" i="7"/>
  <c r="D95" i="7"/>
  <c r="D94" i="7"/>
  <c r="D93" i="7"/>
  <c r="D92" i="7"/>
  <c r="D91" i="7"/>
  <c r="D90" i="7"/>
  <c r="D89" i="7"/>
  <c r="D88" i="7"/>
  <c r="D87" i="7"/>
  <c r="D86" i="7"/>
  <c r="D85" i="7"/>
  <c r="D81" i="7"/>
  <c r="D80" i="7"/>
  <c r="D79" i="7"/>
  <c r="D78" i="7"/>
  <c r="D77" i="7"/>
  <c r="D76" i="7"/>
  <c r="D75" i="7"/>
  <c r="D74" i="7"/>
  <c r="D73" i="7"/>
  <c r="D72" i="7"/>
  <c r="D71" i="7"/>
  <c r="D70" i="7"/>
  <c r="D69" i="7"/>
  <c r="D68" i="7"/>
  <c r="D67" i="7"/>
  <c r="D66" i="7"/>
  <c r="D65" i="7"/>
  <c r="D64" i="7"/>
  <c r="D60" i="7"/>
  <c r="D59" i="7"/>
  <c r="D58" i="7"/>
  <c r="D57" i="7"/>
  <c r="D56" i="7"/>
  <c r="D55" i="7"/>
  <c r="D54" i="7"/>
  <c r="D53" i="7"/>
  <c r="D52" i="7"/>
  <c r="D51" i="7"/>
  <c r="D50" i="7"/>
  <c r="D49" i="7"/>
  <c r="D48" i="7"/>
  <c r="D45" i="7"/>
  <c r="D44" i="7"/>
  <c r="D43" i="7"/>
  <c r="D42" i="7"/>
  <c r="D41" i="7"/>
  <c r="D40" i="7"/>
  <c r="D39" i="7"/>
  <c r="D38" i="7"/>
  <c r="D37" i="7"/>
  <c r="D33" i="7"/>
  <c r="D32" i="7"/>
  <c r="D31" i="7"/>
  <c r="D30" i="7"/>
  <c r="D29" i="7"/>
  <c r="D28" i="7"/>
  <c r="D27" i="7"/>
  <c r="D26" i="7"/>
  <c r="D25" i="7"/>
  <c r="D24" i="7"/>
  <c r="D23" i="7"/>
  <c r="D22" i="7"/>
  <c r="D21" i="7"/>
  <c r="D20" i="7"/>
  <c r="D19" i="7"/>
  <c r="D18" i="7"/>
  <c r="D17" i="7"/>
  <c r="D16" i="7"/>
  <c r="D15" i="7"/>
  <c r="D14" i="7"/>
  <c r="D13" i="7"/>
  <c r="D12" i="7"/>
  <c r="D11" i="7"/>
  <c r="D10" i="7"/>
  <c r="D9" i="7"/>
  <c r="D8" i="7"/>
  <c r="D7" i="7"/>
  <c r="D99" i="8"/>
  <c r="D98" i="8"/>
  <c r="D97" i="8"/>
  <c r="D96" i="8"/>
  <c r="D95" i="8"/>
  <c r="D94" i="8"/>
  <c r="D93" i="8"/>
  <c r="D92" i="8"/>
  <c r="D91" i="8"/>
  <c r="D90" i="8"/>
  <c r="D89" i="8"/>
  <c r="D88" i="8"/>
  <c r="D87" i="8"/>
  <c r="D86" i="8"/>
  <c r="D82" i="8"/>
  <c r="D81" i="8"/>
  <c r="D80" i="8"/>
  <c r="D79" i="8"/>
  <c r="D78" i="8"/>
  <c r="D77" i="8"/>
  <c r="D76" i="8"/>
  <c r="D75" i="8"/>
  <c r="D74" i="8"/>
  <c r="D73" i="8"/>
  <c r="D72" i="8"/>
  <c r="D71" i="8"/>
  <c r="D70" i="8"/>
  <c r="D69" i="8"/>
  <c r="D68" i="8"/>
  <c r="D67" i="8"/>
  <c r="D66" i="8"/>
  <c r="D65" i="8"/>
  <c r="D64" i="8"/>
  <c r="D60" i="8"/>
  <c r="D59" i="8"/>
  <c r="D58" i="8"/>
  <c r="D57" i="8"/>
  <c r="D56" i="8"/>
  <c r="D54" i="8"/>
  <c r="D53" i="8"/>
  <c r="D52" i="8"/>
  <c r="D51" i="8"/>
  <c r="D50" i="8"/>
  <c r="D49" i="8"/>
  <c r="D47" i="8"/>
  <c r="D46" i="8"/>
  <c r="D45" i="8"/>
  <c r="D44" i="8"/>
  <c r="D43" i="8"/>
  <c r="D42" i="8"/>
  <c r="D41" i="8"/>
  <c r="D40" i="8"/>
  <c r="D39" i="8"/>
  <c r="D38" i="8"/>
  <c r="D34" i="8"/>
  <c r="D33" i="8"/>
  <c r="D32" i="8"/>
  <c r="D31" i="8"/>
  <c r="D30" i="8"/>
  <c r="D29" i="8"/>
  <c r="D28" i="8"/>
  <c r="D27" i="8"/>
  <c r="D26" i="8"/>
  <c r="D25" i="8"/>
  <c r="D24" i="8"/>
  <c r="D23" i="8"/>
  <c r="D22" i="8"/>
  <c r="F22" i="8" s="1"/>
  <c r="D21" i="8"/>
  <c r="D19" i="8"/>
  <c r="D18" i="8"/>
  <c r="D17" i="8"/>
  <c r="D16" i="8"/>
  <c r="D15" i="8"/>
  <c r="D14" i="8"/>
  <c r="D13" i="8"/>
  <c r="D12" i="8"/>
  <c r="D11" i="8"/>
  <c r="D10" i="8"/>
  <c r="D9" i="8"/>
  <c r="D8" i="8"/>
  <c r="D7" i="8"/>
  <c r="D97" i="9"/>
  <c r="D96" i="9"/>
  <c r="D95" i="9"/>
  <c r="D94" i="9"/>
  <c r="D93" i="9"/>
  <c r="D92" i="9"/>
  <c r="D91" i="9"/>
  <c r="D90" i="9"/>
  <c r="D89" i="9"/>
  <c r="D88" i="9"/>
  <c r="D87" i="9"/>
  <c r="D86" i="9"/>
  <c r="D82" i="9"/>
  <c r="D81" i="9"/>
  <c r="D80" i="9"/>
  <c r="D79" i="9"/>
  <c r="D78" i="9"/>
  <c r="D77" i="9"/>
  <c r="D76" i="9"/>
  <c r="D75" i="9"/>
  <c r="D74" i="9"/>
  <c r="D73" i="9"/>
  <c r="D72" i="9"/>
  <c r="D71" i="9"/>
  <c r="D70" i="9"/>
  <c r="D69" i="9"/>
  <c r="D68" i="9"/>
  <c r="D67" i="9"/>
  <c r="D66" i="9"/>
  <c r="D65" i="9"/>
  <c r="D34" i="9"/>
  <c r="D33" i="9"/>
  <c r="D32" i="9"/>
  <c r="D31" i="9"/>
  <c r="D30" i="9"/>
  <c r="D29" i="9"/>
  <c r="D28" i="9"/>
  <c r="D27" i="9"/>
  <c r="D26" i="9"/>
  <c r="D25" i="9"/>
  <c r="D24" i="9"/>
  <c r="D23" i="9"/>
  <c r="D22" i="9"/>
  <c r="D21" i="9"/>
  <c r="D20" i="9"/>
  <c r="D19" i="9"/>
  <c r="D17" i="9"/>
  <c r="D16" i="9"/>
  <c r="D15" i="9"/>
  <c r="D14" i="9"/>
  <c r="D13" i="9"/>
  <c r="D12" i="9"/>
  <c r="D11" i="9"/>
  <c r="D10" i="9"/>
  <c r="D9" i="9"/>
  <c r="D8" i="9"/>
  <c r="D7" i="9"/>
  <c r="D61" i="9"/>
  <c r="D60" i="9"/>
  <c r="D59" i="9"/>
  <c r="D58" i="9"/>
  <c r="D57" i="9"/>
  <c r="D56" i="9"/>
  <c r="D55" i="9"/>
  <c r="D54" i="9"/>
  <c r="D53" i="9"/>
  <c r="D52" i="9"/>
  <c r="D51" i="9"/>
  <c r="D50" i="9"/>
  <c r="D49" i="9"/>
  <c r="D46" i="9"/>
  <c r="D45" i="9"/>
  <c r="D44" i="9"/>
  <c r="D43" i="9"/>
  <c r="D42" i="9"/>
  <c r="D41" i="9"/>
  <c r="D40" i="9"/>
  <c r="D39" i="9"/>
  <c r="D38" i="9"/>
  <c r="D96" i="10"/>
  <c r="D95" i="10"/>
  <c r="D94" i="10"/>
  <c r="D93" i="10"/>
  <c r="D92" i="10"/>
  <c r="D91" i="10"/>
  <c r="D90" i="10"/>
  <c r="D89" i="10"/>
  <c r="D88" i="10"/>
  <c r="D87" i="10"/>
  <c r="D86" i="10"/>
  <c r="D85" i="10"/>
  <c r="D84" i="10"/>
  <c r="D80" i="10"/>
  <c r="D79" i="10"/>
  <c r="D78" i="10"/>
  <c r="D77" i="10"/>
  <c r="D76" i="10"/>
  <c r="D75" i="10"/>
  <c r="D74" i="10"/>
  <c r="D73" i="10"/>
  <c r="D72" i="10"/>
  <c r="D71" i="10"/>
  <c r="D70" i="10"/>
  <c r="D69" i="10"/>
  <c r="D68" i="10"/>
  <c r="D67" i="10"/>
  <c r="D66" i="10"/>
  <c r="D65" i="10"/>
  <c r="D64" i="10"/>
  <c r="D60" i="10"/>
  <c r="D59" i="10"/>
  <c r="D58" i="10"/>
  <c r="D57" i="10"/>
  <c r="D56" i="10"/>
  <c r="D55" i="10"/>
  <c r="D54" i="10"/>
  <c r="D53" i="10"/>
  <c r="F53" i="10" s="1"/>
  <c r="D52" i="10"/>
  <c r="D51" i="10"/>
  <c r="D50" i="10"/>
  <c r="D48" i="10"/>
  <c r="D46" i="10"/>
  <c r="D45" i="10"/>
  <c r="D44" i="10"/>
  <c r="D43" i="10"/>
  <c r="D42" i="10"/>
  <c r="D41" i="10"/>
  <c r="D40" i="10"/>
  <c r="D39" i="10"/>
  <c r="D38" i="10"/>
  <c r="AX34" i="10"/>
  <c r="AX33" i="10"/>
  <c r="AX32" i="10"/>
  <c r="AX31" i="10"/>
  <c r="AX30" i="10"/>
  <c r="AX29" i="10"/>
  <c r="AX28" i="10"/>
  <c r="AX27" i="10"/>
  <c r="AX26" i="10"/>
  <c r="AX25" i="10"/>
  <c r="AX24" i="10"/>
  <c r="AX23" i="10"/>
  <c r="AX22" i="10"/>
  <c r="AX21" i="10"/>
  <c r="AX19" i="10"/>
  <c r="AX18" i="10"/>
  <c r="AX17" i="10"/>
  <c r="AX16" i="10"/>
  <c r="AX15" i="10"/>
  <c r="AX14" i="10"/>
  <c r="AX13" i="10"/>
  <c r="AX12" i="10"/>
  <c r="AX11" i="10"/>
  <c r="AX10" i="10"/>
  <c r="AX9" i="10"/>
  <c r="AX8" i="10"/>
  <c r="AX7" i="10"/>
  <c r="AL34" i="10"/>
  <c r="AL33" i="10"/>
  <c r="AL32" i="10"/>
  <c r="AL31" i="10"/>
  <c r="AL30" i="10"/>
  <c r="AL29" i="10"/>
  <c r="AL28" i="10"/>
  <c r="AL27" i="10"/>
  <c r="AL26" i="10"/>
  <c r="AL25" i="10"/>
  <c r="AL24" i="10"/>
  <c r="AL23" i="10"/>
  <c r="AL22" i="10"/>
  <c r="AL21" i="10"/>
  <c r="AL19" i="10"/>
  <c r="AL18" i="10"/>
  <c r="AL17" i="10"/>
  <c r="AL16" i="10"/>
  <c r="AL15" i="10"/>
  <c r="AL14" i="10"/>
  <c r="AL13" i="10"/>
  <c r="AL12" i="10"/>
  <c r="AL11" i="10"/>
  <c r="AL10" i="10"/>
  <c r="AL9" i="10"/>
  <c r="AL8" i="10"/>
  <c r="AL7" i="10"/>
  <c r="P34" i="10"/>
  <c r="P33" i="10"/>
  <c r="P32" i="10"/>
  <c r="P31" i="10"/>
  <c r="P30" i="10"/>
  <c r="P29" i="10"/>
  <c r="P28" i="10"/>
  <c r="P27" i="10"/>
  <c r="P26" i="10"/>
  <c r="P25" i="10"/>
  <c r="P24" i="10"/>
  <c r="P23" i="10"/>
  <c r="P22" i="10"/>
  <c r="P21" i="10"/>
  <c r="P19" i="10"/>
  <c r="P18" i="10"/>
  <c r="P17" i="10"/>
  <c r="P16" i="10"/>
  <c r="P15" i="10"/>
  <c r="P14" i="10"/>
  <c r="P13" i="10"/>
  <c r="P12" i="10"/>
  <c r="P11" i="10"/>
  <c r="P10" i="10"/>
  <c r="P9" i="10"/>
  <c r="P8" i="10"/>
  <c r="P7" i="10"/>
  <c r="D8" i="10"/>
  <c r="D9" i="10"/>
  <c r="D10" i="10"/>
  <c r="D11" i="10"/>
  <c r="D12" i="10"/>
  <c r="D13" i="10"/>
  <c r="D14" i="10"/>
  <c r="D15" i="10"/>
  <c r="D16" i="10"/>
  <c r="D17" i="10"/>
  <c r="D18" i="10"/>
  <c r="D19" i="10"/>
  <c r="D21" i="10"/>
  <c r="D22" i="10"/>
  <c r="D23" i="10"/>
  <c r="D24" i="10"/>
  <c r="D25" i="10"/>
  <c r="D26" i="10"/>
  <c r="D27" i="10"/>
  <c r="D28" i="10"/>
  <c r="D29" i="10"/>
  <c r="D30" i="10"/>
  <c r="D31" i="10"/>
  <c r="D32" i="10"/>
  <c r="D33" i="10"/>
  <c r="D34" i="10"/>
  <c r="D7" i="10"/>
  <c r="G52" i="10" l="1"/>
  <c r="G51" i="10"/>
  <c r="G50" i="10"/>
  <c r="G49" i="10"/>
  <c r="G48" i="10"/>
  <c r="G47" i="10"/>
  <c r="G46" i="10"/>
  <c r="G54" i="10"/>
  <c r="I48" i="9"/>
  <c r="K54" i="1" s="1"/>
  <c r="I47" i="9"/>
  <c r="K50" i="1" s="1"/>
  <c r="I46" i="9"/>
  <c r="K49" i="9"/>
  <c r="H49" i="9"/>
  <c r="K48" i="9"/>
  <c r="H48" i="9"/>
  <c r="K47" i="9"/>
  <c r="H47" i="9"/>
  <c r="K46" i="9"/>
  <c r="H46" i="9"/>
  <c r="J51" i="8"/>
  <c r="G51" i="8"/>
  <c r="G50" i="8"/>
  <c r="G49" i="8"/>
  <c r="G48" i="8"/>
  <c r="I50" i="7"/>
  <c r="I49" i="7"/>
  <c r="I48" i="7"/>
  <c r="I47" i="7"/>
  <c r="M54" i="1" s="1"/>
  <c r="I46" i="7"/>
  <c r="M50" i="1" s="1"/>
  <c r="K51" i="7"/>
  <c r="K50" i="7"/>
  <c r="K49" i="7"/>
  <c r="K48" i="7"/>
  <c r="K47" i="7"/>
  <c r="K46" i="7"/>
  <c r="G52" i="6"/>
  <c r="G51" i="6"/>
  <c r="G50" i="6"/>
  <c r="I49" i="5"/>
  <c r="O50" i="1" s="1"/>
  <c r="K50" i="5"/>
  <c r="K49" i="5"/>
  <c r="K49" i="4"/>
  <c r="H49" i="4"/>
  <c r="K48" i="4"/>
  <c r="H48" i="4"/>
  <c r="I49" i="4"/>
  <c r="P50" i="1" s="1"/>
  <c r="I48" i="4"/>
  <c r="P54" i="1" s="1"/>
  <c r="V24" i="10"/>
  <c r="V23" i="10"/>
  <c r="V22" i="10"/>
  <c r="V21" i="10"/>
  <c r="F87" i="7"/>
  <c r="G87" i="7" s="1"/>
  <c r="J87" i="7"/>
  <c r="F88" i="7"/>
  <c r="G88" i="7" s="1"/>
  <c r="J88" i="7"/>
  <c r="F89" i="7"/>
  <c r="G89" i="7" s="1"/>
  <c r="J89" i="7"/>
  <c r="F90" i="7"/>
  <c r="G90" i="7" s="1"/>
  <c r="J90" i="7"/>
  <c r="F92" i="6"/>
  <c r="G92" i="6" s="1"/>
  <c r="J92" i="6"/>
  <c r="F93" i="6"/>
  <c r="J93" i="6"/>
  <c r="F94" i="6"/>
  <c r="J94" i="6"/>
  <c r="F92" i="5"/>
  <c r="G92" i="5" s="1"/>
  <c r="J92" i="5"/>
  <c r="F93" i="5"/>
  <c r="G93" i="5" s="1"/>
  <c r="J93" i="5"/>
  <c r="F94" i="5"/>
  <c r="G94" i="5" s="1"/>
  <c r="J94" i="5"/>
  <c r="F92" i="4"/>
  <c r="G92" i="4" s="1"/>
  <c r="J92" i="4"/>
  <c r="F93" i="4"/>
  <c r="G93" i="4" s="1"/>
  <c r="J93" i="4"/>
  <c r="F94" i="4"/>
  <c r="G94" i="4" s="1"/>
  <c r="J94" i="4"/>
  <c r="F93" i="2"/>
  <c r="G93" i="2" s="1"/>
  <c r="J93" i="2"/>
  <c r="F94" i="2"/>
  <c r="G94" i="2" s="1"/>
  <c r="J94" i="2"/>
  <c r="F95" i="2"/>
  <c r="G95" i="2" s="1"/>
  <c r="J95" i="2"/>
  <c r="F96" i="2"/>
  <c r="G96" i="2" s="1"/>
  <c r="J96" i="2"/>
  <c r="F97" i="2"/>
  <c r="G97" i="2" s="1"/>
  <c r="J97" i="2"/>
  <c r="F72" i="2"/>
  <c r="G72" i="2" s="1"/>
  <c r="J72" i="2"/>
  <c r="F69" i="2"/>
  <c r="G69" i="2" s="1"/>
  <c r="J69" i="2"/>
  <c r="F70" i="2"/>
  <c r="G70" i="2" s="1"/>
  <c r="J70" i="2"/>
  <c r="F71" i="2"/>
  <c r="G71" i="2" s="1"/>
  <c r="J71" i="2"/>
  <c r="F73" i="2"/>
  <c r="G73" i="2" s="1"/>
  <c r="J73" i="2"/>
  <c r="F74" i="2"/>
  <c r="G74" i="2" s="1"/>
  <c r="J74" i="2"/>
  <c r="F75" i="2"/>
  <c r="G75" i="2" s="1"/>
  <c r="J75" i="2"/>
  <c r="F76" i="2"/>
  <c r="G76" i="2" s="1"/>
  <c r="J76" i="2"/>
  <c r="F77" i="2"/>
  <c r="G77" i="2" s="1"/>
  <c r="J77" i="2"/>
  <c r="F69" i="4"/>
  <c r="G69" i="4" s="1"/>
  <c r="J69" i="4"/>
  <c r="F70" i="4"/>
  <c r="J70" i="4"/>
  <c r="F71" i="4"/>
  <c r="G71" i="4" s="1"/>
  <c r="J71" i="4"/>
  <c r="F72" i="4"/>
  <c r="G72" i="4" s="1"/>
  <c r="J72" i="4"/>
  <c r="F73" i="4"/>
  <c r="J73" i="4"/>
  <c r="F74" i="4"/>
  <c r="G74" i="4" s="1"/>
  <c r="J74" i="4"/>
  <c r="F75" i="4"/>
  <c r="G75" i="4" s="1"/>
  <c r="J75" i="4"/>
  <c r="F70" i="5"/>
  <c r="G70" i="5" s="1"/>
  <c r="J70" i="5"/>
  <c r="F71" i="5"/>
  <c r="G71" i="5" s="1"/>
  <c r="J71" i="5"/>
  <c r="F72" i="5"/>
  <c r="G72" i="5" s="1"/>
  <c r="J72" i="5"/>
  <c r="F73" i="5"/>
  <c r="G73" i="5" s="1"/>
  <c r="J73" i="5"/>
  <c r="F74" i="5"/>
  <c r="G74" i="5" s="1"/>
  <c r="J74" i="5"/>
  <c r="F75" i="5"/>
  <c r="G75" i="5" s="1"/>
  <c r="J75" i="5"/>
  <c r="F76" i="5"/>
  <c r="G76" i="5" s="1"/>
  <c r="J76" i="5"/>
  <c r="F70" i="6"/>
  <c r="G70" i="6" s="1"/>
  <c r="J70" i="6"/>
  <c r="F71" i="6"/>
  <c r="G71" i="6" s="1"/>
  <c r="J71" i="6"/>
  <c r="F72" i="6"/>
  <c r="G72" i="6" s="1"/>
  <c r="J72" i="6"/>
  <c r="F73" i="6"/>
  <c r="G73" i="6" s="1"/>
  <c r="J73" i="6"/>
  <c r="F74" i="6"/>
  <c r="G74" i="6" s="1"/>
  <c r="J74" i="6"/>
  <c r="F75" i="6"/>
  <c r="G75" i="6" s="1"/>
  <c r="J75" i="6"/>
  <c r="F89" i="8"/>
  <c r="G89" i="8" s="1"/>
  <c r="J89" i="8"/>
  <c r="F90" i="8"/>
  <c r="G90" i="8" s="1"/>
  <c r="J90" i="8"/>
  <c r="F91" i="8"/>
  <c r="J91" i="8"/>
  <c r="F92" i="8"/>
  <c r="J92" i="8"/>
  <c r="F67" i="7"/>
  <c r="G67" i="7" s="1"/>
  <c r="J67" i="7"/>
  <c r="F68" i="7"/>
  <c r="J68" i="7"/>
  <c r="F69" i="7"/>
  <c r="J69" i="7"/>
  <c r="F70" i="7"/>
  <c r="J70" i="7"/>
  <c r="F91" i="9"/>
  <c r="G91" i="9" s="1"/>
  <c r="J91" i="9"/>
  <c r="F67" i="8"/>
  <c r="G67" i="8" s="1"/>
  <c r="J67" i="8"/>
  <c r="F68" i="8"/>
  <c r="G68" i="8" s="1"/>
  <c r="J68" i="8"/>
  <c r="F69" i="8"/>
  <c r="G69" i="8" s="1"/>
  <c r="J69" i="8"/>
  <c r="F70" i="8"/>
  <c r="J70" i="8"/>
  <c r="F71" i="8"/>
  <c r="G71" i="8" s="1"/>
  <c r="J71" i="8"/>
  <c r="F69" i="9"/>
  <c r="G69" i="9" s="1"/>
  <c r="J69" i="9"/>
  <c r="F70" i="9"/>
  <c r="G70" i="9" s="1"/>
  <c r="J70" i="9"/>
  <c r="F71" i="9"/>
  <c r="G71" i="9" s="1"/>
  <c r="J71" i="9"/>
  <c r="F72" i="9"/>
  <c r="G72" i="9" s="1"/>
  <c r="J72" i="9"/>
  <c r="F89" i="10"/>
  <c r="G89" i="10" s="1"/>
  <c r="J89" i="10"/>
  <c r="F90" i="10"/>
  <c r="J90" i="10"/>
  <c r="F91" i="10"/>
  <c r="G91" i="10" s="1"/>
  <c r="J91" i="10"/>
  <c r="F70" i="10"/>
  <c r="G70" i="10" s="1"/>
  <c r="J70" i="10"/>
  <c r="F71" i="10"/>
  <c r="G71" i="10" s="1"/>
  <c r="J71" i="10"/>
  <c r="F72" i="10"/>
  <c r="G72" i="10" s="1"/>
  <c r="J72" i="10"/>
  <c r="N12" i="1"/>
  <c r="N14" i="1"/>
  <c r="N16" i="1"/>
  <c r="N18" i="1"/>
  <c r="N19" i="1"/>
  <c r="N20" i="1"/>
  <c r="N21" i="1"/>
  <c r="N23" i="1"/>
  <c r="N24" i="1"/>
  <c r="N25" i="1"/>
  <c r="N28" i="1"/>
  <c r="AJ7" i="6"/>
  <c r="V8" i="6"/>
  <c r="V9" i="6"/>
  <c r="V10" i="6"/>
  <c r="V11" i="6"/>
  <c r="V12" i="6"/>
  <c r="V13" i="6"/>
  <c r="V14" i="6"/>
  <c r="V17" i="6"/>
  <c r="V18" i="6"/>
  <c r="V20" i="6"/>
  <c r="V22" i="6"/>
  <c r="V24" i="6"/>
  <c r="V25" i="6"/>
  <c r="V26" i="6"/>
  <c r="V27" i="6"/>
  <c r="V28" i="6"/>
  <c r="V29" i="6"/>
  <c r="V30" i="6"/>
  <c r="V31" i="6"/>
  <c r="V32" i="6"/>
  <c r="V33" i="6"/>
  <c r="V34" i="6"/>
  <c r="V7" i="6"/>
  <c r="AD34" i="6"/>
  <c r="AD33" i="6"/>
  <c r="AH33" i="6" s="1"/>
  <c r="AD32" i="6"/>
  <c r="AE32" i="6" s="1"/>
  <c r="AD31" i="6"/>
  <c r="AD30" i="6"/>
  <c r="AH30" i="6" s="1"/>
  <c r="AD29" i="6"/>
  <c r="AD28" i="6"/>
  <c r="AD27" i="6"/>
  <c r="AH27" i="6" s="1"/>
  <c r="AD26" i="6"/>
  <c r="AD25" i="6"/>
  <c r="AD24" i="6"/>
  <c r="AD23" i="6"/>
  <c r="AD22" i="6"/>
  <c r="AD21" i="6"/>
  <c r="AH21" i="6" s="1"/>
  <c r="AD20" i="6"/>
  <c r="AD18" i="6"/>
  <c r="AD17" i="6"/>
  <c r="AH17" i="6" s="1"/>
  <c r="AD16" i="6"/>
  <c r="AD15" i="6"/>
  <c r="AD14" i="6"/>
  <c r="AH14" i="6" s="1"/>
  <c r="AD13" i="6"/>
  <c r="AD12" i="6"/>
  <c r="AD11" i="6"/>
  <c r="AD10" i="6"/>
  <c r="AD9" i="6"/>
  <c r="AD8" i="6"/>
  <c r="AH8" i="6" s="1"/>
  <c r="AD7" i="6"/>
  <c r="R34" i="6"/>
  <c r="S34" i="6" s="1"/>
  <c r="R33" i="6"/>
  <c r="S33" i="6" s="1"/>
  <c r="R32" i="6"/>
  <c r="S32" i="6" s="1"/>
  <c r="R31" i="6"/>
  <c r="S31" i="6" s="1"/>
  <c r="R30" i="6"/>
  <c r="S30" i="6" s="1"/>
  <c r="R29" i="6"/>
  <c r="S29" i="6" s="1"/>
  <c r="R28" i="6"/>
  <c r="S28" i="6" s="1"/>
  <c r="R27" i="6"/>
  <c r="S27" i="6" s="1"/>
  <c r="R26" i="6"/>
  <c r="S26" i="6" s="1"/>
  <c r="R25" i="6"/>
  <c r="S25" i="6" s="1"/>
  <c r="R24" i="6"/>
  <c r="S24" i="6" s="1"/>
  <c r="R23" i="6"/>
  <c r="R22" i="6"/>
  <c r="S22" i="6" s="1"/>
  <c r="R21" i="6"/>
  <c r="R20" i="6"/>
  <c r="S20" i="6" s="1"/>
  <c r="R18" i="6"/>
  <c r="S18" i="6" s="1"/>
  <c r="R17" i="6"/>
  <c r="S17" i="6" s="1"/>
  <c r="R16" i="6"/>
  <c r="R15" i="6"/>
  <c r="R14" i="6"/>
  <c r="S14" i="6" s="1"/>
  <c r="R13" i="6"/>
  <c r="S13" i="6" s="1"/>
  <c r="R12" i="6"/>
  <c r="S12" i="6" s="1"/>
  <c r="R11" i="6"/>
  <c r="S11" i="6" s="1"/>
  <c r="R10" i="6"/>
  <c r="S10" i="6" s="1"/>
  <c r="R9" i="6"/>
  <c r="S9" i="6" s="1"/>
  <c r="R8" i="6"/>
  <c r="S8" i="6" s="1"/>
  <c r="R7" i="6"/>
  <c r="S7" i="6" s="1"/>
  <c r="F2" i="6"/>
  <c r="F47" i="2"/>
  <c r="G47" i="2" s="1"/>
  <c r="J47" i="2"/>
  <c r="F48" i="2"/>
  <c r="G48" i="2" s="1"/>
  <c r="J48" i="2"/>
  <c r="F50" i="2"/>
  <c r="G50" i="2" s="1"/>
  <c r="J50" i="2"/>
  <c r="F50" i="4"/>
  <c r="G50" i="4" s="1"/>
  <c r="J50" i="4"/>
  <c r="F51" i="4"/>
  <c r="J51" i="4"/>
  <c r="F52" i="4"/>
  <c r="J52" i="4"/>
  <c r="F53" i="5"/>
  <c r="G53" i="5" s="1"/>
  <c r="J53" i="5"/>
  <c r="F51" i="5"/>
  <c r="G51" i="5" s="1"/>
  <c r="J51" i="5"/>
  <c r="F52" i="5"/>
  <c r="G52" i="5" s="1"/>
  <c r="J52" i="5"/>
  <c r="F53" i="6"/>
  <c r="G53" i="6" s="1"/>
  <c r="J53" i="6"/>
  <c r="F52" i="9"/>
  <c r="G52" i="9" s="1"/>
  <c r="J52" i="9"/>
  <c r="F53" i="9"/>
  <c r="J53" i="9"/>
  <c r="J25" i="1"/>
  <c r="J26" i="1"/>
  <c r="J16" i="1"/>
  <c r="J15" i="1"/>
  <c r="J21" i="1"/>
  <c r="J22" i="1"/>
  <c r="J28" i="1"/>
  <c r="AZ34" i="10"/>
  <c r="BA34" i="10" s="1"/>
  <c r="AZ33" i="10"/>
  <c r="AZ32" i="10"/>
  <c r="BD32" i="10" s="1"/>
  <c r="AZ31" i="10"/>
  <c r="BA31" i="10" s="1"/>
  <c r="AZ30" i="10"/>
  <c r="BA30" i="10" s="1"/>
  <c r="AZ29" i="10"/>
  <c r="AZ28" i="10"/>
  <c r="BD28" i="10" s="1"/>
  <c r="AZ27" i="10"/>
  <c r="AZ26" i="10"/>
  <c r="BA26" i="10" s="1"/>
  <c r="AZ25" i="10"/>
  <c r="BA25" i="10" s="1"/>
  <c r="AZ24" i="10"/>
  <c r="AZ23" i="10"/>
  <c r="BD23" i="10" s="1"/>
  <c r="AZ22" i="10"/>
  <c r="BA22" i="10" s="1"/>
  <c r="AZ21" i="10"/>
  <c r="BA21" i="10" s="1"/>
  <c r="AZ19" i="10"/>
  <c r="BD19" i="10" s="1"/>
  <c r="AZ18" i="10"/>
  <c r="BA18" i="10" s="1"/>
  <c r="AZ17" i="10"/>
  <c r="BA17" i="10" s="1"/>
  <c r="AZ16" i="10"/>
  <c r="BD16" i="10" s="1"/>
  <c r="AZ15" i="10"/>
  <c r="BA15" i="10" s="1"/>
  <c r="AZ14" i="10"/>
  <c r="AZ13" i="10"/>
  <c r="BD13" i="10" s="1"/>
  <c r="AZ12" i="10"/>
  <c r="BA12" i="10" s="1"/>
  <c r="AZ11" i="10"/>
  <c r="BA11" i="10" s="1"/>
  <c r="AZ10" i="10"/>
  <c r="BD10" i="10" s="1"/>
  <c r="AZ9" i="10"/>
  <c r="BA9" i="10" s="1"/>
  <c r="AZ8" i="10"/>
  <c r="BA8" i="10" s="1"/>
  <c r="AZ7" i="10"/>
  <c r="BD7" i="10" s="1"/>
  <c r="AN34" i="10"/>
  <c r="AR34" i="10" s="1"/>
  <c r="AN33" i="10"/>
  <c r="AR33" i="10" s="1"/>
  <c r="AN32" i="10"/>
  <c r="AR32" i="10" s="1"/>
  <c r="AN31" i="10"/>
  <c r="AR31" i="10" s="1"/>
  <c r="AN30" i="10"/>
  <c r="AR30" i="10" s="1"/>
  <c r="AN29" i="10"/>
  <c r="AO29" i="10" s="1"/>
  <c r="AN28" i="10"/>
  <c r="AO28" i="10" s="1"/>
  <c r="AN27" i="10"/>
  <c r="AO27" i="10" s="1"/>
  <c r="AN26" i="10"/>
  <c r="AO26" i="10" s="1"/>
  <c r="AN25" i="10"/>
  <c r="AO25" i="10" s="1"/>
  <c r="AN24" i="10"/>
  <c r="AO24" i="10" s="1"/>
  <c r="AN23" i="10"/>
  <c r="AR23" i="10" s="1"/>
  <c r="AN22" i="10"/>
  <c r="AO22" i="10" s="1"/>
  <c r="AN21" i="10"/>
  <c r="AR21" i="10" s="1"/>
  <c r="AN19" i="10"/>
  <c r="AR19" i="10" s="1"/>
  <c r="AN18" i="10"/>
  <c r="AO18" i="10" s="1"/>
  <c r="AN17" i="10"/>
  <c r="AR17" i="10" s="1"/>
  <c r="AN16" i="10"/>
  <c r="AR16" i="10" s="1"/>
  <c r="AN15" i="10"/>
  <c r="AN14" i="10"/>
  <c r="AO14" i="10" s="1"/>
  <c r="AN13" i="10"/>
  <c r="AR13" i="10" s="1"/>
  <c r="AN12" i="10"/>
  <c r="AO12" i="10" s="1"/>
  <c r="AN11" i="10"/>
  <c r="AO11" i="10" s="1"/>
  <c r="AN10" i="10"/>
  <c r="AN9" i="10"/>
  <c r="AR9" i="10" s="1"/>
  <c r="AN8" i="10"/>
  <c r="AN7" i="10"/>
  <c r="AR7" i="10" s="1"/>
  <c r="R34" i="10"/>
  <c r="R33" i="10"/>
  <c r="S33" i="10" s="1"/>
  <c r="R32" i="10"/>
  <c r="V32" i="10" s="1"/>
  <c r="R31" i="10"/>
  <c r="S31" i="10" s="1"/>
  <c r="R30" i="10"/>
  <c r="R29" i="10"/>
  <c r="V29" i="10" s="1"/>
  <c r="R28" i="10"/>
  <c r="R27" i="10"/>
  <c r="S27" i="10" s="1"/>
  <c r="R26" i="10"/>
  <c r="V26" i="10" s="1"/>
  <c r="R25" i="10"/>
  <c r="R19" i="10"/>
  <c r="V19" i="10" s="1"/>
  <c r="R18" i="10"/>
  <c r="R17" i="10"/>
  <c r="S17" i="10" s="1"/>
  <c r="R16" i="10"/>
  <c r="V16" i="10" s="1"/>
  <c r="R15" i="10"/>
  <c r="R14" i="10"/>
  <c r="S14" i="10" s="1"/>
  <c r="R13" i="10"/>
  <c r="V13" i="10" s="1"/>
  <c r="R12" i="10"/>
  <c r="R11" i="10"/>
  <c r="V11" i="10" s="1"/>
  <c r="R10" i="10"/>
  <c r="V10" i="10" s="1"/>
  <c r="R9" i="10"/>
  <c r="R8" i="10"/>
  <c r="V8" i="10" s="1"/>
  <c r="R7" i="10"/>
  <c r="W23" i="10" s="1"/>
  <c r="A8" i="9"/>
  <c r="A9" i="9"/>
  <c r="A10" i="9"/>
  <c r="A11" i="9"/>
  <c r="A12" i="9"/>
  <c r="A13" i="9"/>
  <c r="A14" i="9"/>
  <c r="A15" i="9"/>
  <c r="A16" i="9"/>
  <c r="A17" i="9"/>
  <c r="A19" i="9"/>
  <c r="A20" i="9"/>
  <c r="A21" i="9"/>
  <c r="A22" i="9"/>
  <c r="A23" i="9"/>
  <c r="A24" i="9"/>
  <c r="A25" i="9"/>
  <c r="A26" i="9"/>
  <c r="A27" i="9"/>
  <c r="A28" i="9"/>
  <c r="A29" i="9"/>
  <c r="A30" i="9"/>
  <c r="A31" i="9"/>
  <c r="A32" i="9"/>
  <c r="A33" i="9"/>
  <c r="A34" i="9"/>
  <c r="W22" i="10" l="1"/>
  <c r="T20" i="10"/>
  <c r="W20" i="10"/>
  <c r="T21" i="10"/>
  <c r="T22" i="10"/>
  <c r="T23" i="10"/>
  <c r="T24" i="10"/>
  <c r="W21" i="10"/>
  <c r="W24" i="10"/>
  <c r="BA19" i="10"/>
  <c r="W9" i="10"/>
  <c r="W25" i="10"/>
  <c r="W34" i="10"/>
  <c r="BA10" i="10"/>
  <c r="BA7" i="10"/>
  <c r="BD26" i="10"/>
  <c r="BA16" i="10"/>
  <c r="AR12" i="10"/>
  <c r="W15" i="10"/>
  <c r="W8" i="10"/>
  <c r="W28" i="10"/>
  <c r="AR28" i="10"/>
  <c r="AR18" i="10"/>
  <c r="V7" i="10"/>
  <c r="AO34" i="10"/>
  <c r="AO13" i="10"/>
  <c r="BA32" i="10"/>
  <c r="AR25" i="10"/>
  <c r="T30" i="10"/>
  <c r="AR15" i="10"/>
  <c r="BE14" i="10"/>
  <c r="BE24" i="10"/>
  <c r="BE27" i="10"/>
  <c r="BE33" i="10"/>
  <c r="AO31" i="10"/>
  <c r="AO9" i="10"/>
  <c r="BA23" i="10"/>
  <c r="BA13" i="10"/>
  <c r="AR22" i="10"/>
  <c r="G73" i="4"/>
  <c r="G70" i="4"/>
  <c r="S15" i="6"/>
  <c r="AH10" i="6"/>
  <c r="AE10" i="6"/>
  <c r="AG10" i="6"/>
  <c r="AI10" i="6"/>
  <c r="AH13" i="6"/>
  <c r="AG13" i="6"/>
  <c r="AI13" i="6"/>
  <c r="AE13" i="6"/>
  <c r="AH20" i="6"/>
  <c r="AI20" i="6"/>
  <c r="AG20" i="6"/>
  <c r="AE20" i="6"/>
  <c r="AH26" i="6"/>
  <c r="AI26" i="6"/>
  <c r="AG26" i="6"/>
  <c r="AE26" i="6"/>
  <c r="S21" i="6"/>
  <c r="AG7" i="6"/>
  <c r="AG9" i="6"/>
  <c r="AG12" i="6"/>
  <c r="AH24" i="6"/>
  <c r="AG28" i="6"/>
  <c r="AG31" i="6"/>
  <c r="AG34" i="6"/>
  <c r="AI7" i="6"/>
  <c r="AH7" i="6"/>
  <c r="AH11" i="6"/>
  <c r="AG15" i="6"/>
  <c r="AG18" i="6"/>
  <c r="AG22" i="6"/>
  <c r="AG25" i="6"/>
  <c r="AH16" i="6"/>
  <c r="AE16" i="6"/>
  <c r="AG16" i="6"/>
  <c r="AI16" i="6"/>
  <c r="AH23" i="6"/>
  <c r="AE23" i="6"/>
  <c r="AG23" i="6"/>
  <c r="AI23" i="6"/>
  <c r="AH29" i="6"/>
  <c r="AI29" i="6"/>
  <c r="AE29" i="6"/>
  <c r="AG29" i="6"/>
  <c r="AH32" i="6"/>
  <c r="AI32" i="6"/>
  <c r="AG32" i="6"/>
  <c r="AG8" i="6"/>
  <c r="AG11" i="6"/>
  <c r="AG14" i="6"/>
  <c r="AG17" i="6"/>
  <c r="AG21" i="6"/>
  <c r="AG24" i="6"/>
  <c r="AG27" i="6"/>
  <c r="AG30" i="6"/>
  <c r="AG33" i="6"/>
  <c r="AE7" i="6"/>
  <c r="AE33" i="6"/>
  <c r="AE30" i="6"/>
  <c r="AE27" i="6"/>
  <c r="AE24" i="6"/>
  <c r="AE21" i="6"/>
  <c r="AE17" i="6"/>
  <c r="AE14" i="6"/>
  <c r="AE11" i="6"/>
  <c r="AE8" i="6"/>
  <c r="AH34" i="6"/>
  <c r="AI33" i="6"/>
  <c r="AH31" i="6"/>
  <c r="AI30" i="6"/>
  <c r="AH28" i="6"/>
  <c r="AI27" i="6"/>
  <c r="AH25" i="6"/>
  <c r="AI24" i="6"/>
  <c r="AH22" i="6"/>
  <c r="AI21" i="6"/>
  <c r="AH18" i="6"/>
  <c r="AI17" i="6"/>
  <c r="AH15" i="6"/>
  <c r="AI14" i="6"/>
  <c r="AH12" i="6"/>
  <c r="AI11" i="6"/>
  <c r="AH9" i="6"/>
  <c r="AI8" i="6"/>
  <c r="V21" i="6"/>
  <c r="AE34" i="6"/>
  <c r="AE31" i="6"/>
  <c r="AE28" i="6"/>
  <c r="AE25" i="6"/>
  <c r="AE22" i="6"/>
  <c r="AE18" i="6"/>
  <c r="AE15" i="6"/>
  <c r="AE12" i="6"/>
  <c r="AE9" i="6"/>
  <c r="AI34" i="6"/>
  <c r="AI31" i="6"/>
  <c r="AI28" i="6"/>
  <c r="AI25" i="6"/>
  <c r="AI22" i="6"/>
  <c r="AI18" i="6"/>
  <c r="AI15" i="6"/>
  <c r="AI12" i="6"/>
  <c r="AI9" i="6"/>
  <c r="G90" i="10"/>
  <c r="BA28" i="10"/>
  <c r="BD34" i="10"/>
  <c r="BD31" i="10"/>
  <c r="BD22" i="10"/>
  <c r="BD18" i="10"/>
  <c r="BD15" i="10"/>
  <c r="BD12" i="10"/>
  <c r="BD9" i="10"/>
  <c r="BE30" i="10"/>
  <c r="BE21" i="10"/>
  <c r="BE11" i="10"/>
  <c r="BD33" i="10"/>
  <c r="BD30" i="10"/>
  <c r="BD25" i="10"/>
  <c r="BD21" i="10"/>
  <c r="BD17" i="10"/>
  <c r="BD14" i="10"/>
  <c r="BD11" i="10"/>
  <c r="BD8" i="10"/>
  <c r="BE17" i="10"/>
  <c r="BE8" i="10"/>
  <c r="BE9" i="10"/>
  <c r="BA33" i="10"/>
  <c r="BA14" i="10"/>
  <c r="AO21" i="10"/>
  <c r="AO17" i="10"/>
  <c r="AO33" i="10"/>
  <c r="AO30" i="10"/>
  <c r="AO23" i="10"/>
  <c r="AO19" i="10"/>
  <c r="AO16" i="10"/>
  <c r="AO8" i="10"/>
  <c r="AR27" i="10"/>
  <c r="AR24" i="10"/>
  <c r="AR14" i="10"/>
  <c r="AR11" i="10"/>
  <c r="AR8" i="10"/>
  <c r="AS8" i="10"/>
  <c r="AO7" i="10"/>
  <c r="AO32" i="10"/>
  <c r="AR29" i="10"/>
  <c r="AR26" i="10"/>
  <c r="AR10" i="10"/>
  <c r="T9" i="10"/>
  <c r="S32" i="10"/>
  <c r="S29" i="10"/>
  <c r="S26" i="10"/>
  <c r="S19" i="10"/>
  <c r="S16" i="10"/>
  <c r="S13" i="10"/>
  <c r="S9" i="10"/>
  <c r="W31" i="10"/>
  <c r="W12" i="10"/>
  <c r="V34" i="10"/>
  <c r="V31" i="10"/>
  <c r="V28" i="10"/>
  <c r="V25" i="10"/>
  <c r="V18" i="10"/>
  <c r="V15" i="10"/>
  <c r="V12" i="10"/>
  <c r="V9" i="10"/>
  <c r="S34" i="10"/>
  <c r="S28" i="10"/>
  <c r="S25" i="10"/>
  <c r="S18" i="10"/>
  <c r="S15" i="10"/>
  <c r="S11" i="10"/>
  <c r="S8" i="10"/>
  <c r="T11" i="10"/>
  <c r="W18" i="10"/>
  <c r="V33" i="10"/>
  <c r="V30" i="10"/>
  <c r="V27" i="10"/>
  <c r="V17" i="10"/>
  <c r="V14" i="10"/>
  <c r="S30" i="10"/>
  <c r="S10" i="10"/>
  <c r="G94" i="6"/>
  <c r="G93" i="6"/>
  <c r="G92" i="8"/>
  <c r="G91" i="8"/>
  <c r="G70" i="7"/>
  <c r="G69" i="7"/>
  <c r="G68" i="7"/>
  <c r="G70" i="8"/>
  <c r="U33" i="6"/>
  <c r="U24" i="6"/>
  <c r="U14" i="6"/>
  <c r="T32" i="6"/>
  <c r="T23" i="6"/>
  <c r="T13" i="6"/>
  <c r="W29" i="6"/>
  <c r="W20" i="6"/>
  <c r="W10" i="6"/>
  <c r="U30" i="6"/>
  <c r="U21" i="6"/>
  <c r="U11" i="6"/>
  <c r="T29" i="6"/>
  <c r="T20" i="6"/>
  <c r="T10" i="6"/>
  <c r="W7" i="6"/>
  <c r="W26" i="6"/>
  <c r="W16" i="6"/>
  <c r="S23" i="6"/>
  <c r="S16" i="6"/>
  <c r="T7" i="6"/>
  <c r="U27" i="6"/>
  <c r="U17" i="6"/>
  <c r="U8" i="6"/>
  <c r="T26" i="6"/>
  <c r="T16" i="6"/>
  <c r="V23" i="6"/>
  <c r="V16" i="6"/>
  <c r="W32" i="6"/>
  <c r="W23" i="6"/>
  <c r="W13" i="6"/>
  <c r="U7" i="6"/>
  <c r="U32" i="6"/>
  <c r="U29" i="6"/>
  <c r="U26" i="6"/>
  <c r="U23" i="6"/>
  <c r="U20" i="6"/>
  <c r="U16" i="6"/>
  <c r="U13" i="6"/>
  <c r="U10" i="6"/>
  <c r="T34" i="6"/>
  <c r="T31" i="6"/>
  <c r="T28" i="6"/>
  <c r="T25" i="6"/>
  <c r="T22" i="6"/>
  <c r="T18" i="6"/>
  <c r="T15" i="6"/>
  <c r="T12" i="6"/>
  <c r="T9" i="6"/>
  <c r="V15" i="6"/>
  <c r="W34" i="6"/>
  <c r="W31" i="6"/>
  <c r="W28" i="6"/>
  <c r="W25" i="6"/>
  <c r="W22" i="6"/>
  <c r="W18" i="6"/>
  <c r="W15" i="6"/>
  <c r="W12" i="6"/>
  <c r="W9" i="6"/>
  <c r="U34" i="6"/>
  <c r="U31" i="6"/>
  <c r="U28" i="6"/>
  <c r="U25" i="6"/>
  <c r="U22" i="6"/>
  <c r="U18" i="6"/>
  <c r="U15" i="6"/>
  <c r="U12" i="6"/>
  <c r="U9" i="6"/>
  <c r="T33" i="6"/>
  <c r="T30" i="6"/>
  <c r="T27" i="6"/>
  <c r="T24" i="6"/>
  <c r="T21" i="6"/>
  <c r="T17" i="6"/>
  <c r="T14" i="6"/>
  <c r="T11" i="6"/>
  <c r="T8" i="6"/>
  <c r="W33" i="6"/>
  <c r="W30" i="6"/>
  <c r="W27" i="6"/>
  <c r="W24" i="6"/>
  <c r="W21" i="6"/>
  <c r="W17" i="6"/>
  <c r="W14" i="6"/>
  <c r="W11" i="6"/>
  <c r="W8" i="6"/>
  <c r="G52" i="4"/>
  <c r="G51" i="4"/>
  <c r="G53" i="9"/>
  <c r="BE32" i="10"/>
  <c r="BE29" i="10"/>
  <c r="BE26" i="10"/>
  <c r="BE23" i="10"/>
  <c r="BE19" i="10"/>
  <c r="BE16" i="10"/>
  <c r="BE13" i="10"/>
  <c r="BE10" i="10"/>
  <c r="BA27" i="10"/>
  <c r="BD27" i="10"/>
  <c r="BE34" i="10"/>
  <c r="BE31" i="10"/>
  <c r="BE28" i="10"/>
  <c r="BE25" i="10"/>
  <c r="BE22" i="10"/>
  <c r="BE18" i="10"/>
  <c r="BE15" i="10"/>
  <c r="BE12" i="10"/>
  <c r="BB32" i="10"/>
  <c r="BB26" i="10"/>
  <c r="BB19" i="10"/>
  <c r="BB13" i="10"/>
  <c r="BB10" i="10"/>
  <c r="BC32" i="10"/>
  <c r="BC26" i="10"/>
  <c r="BC19" i="10"/>
  <c r="BC10" i="10"/>
  <c r="BA24" i="10"/>
  <c r="BB33" i="10"/>
  <c r="BB30" i="10"/>
  <c r="BB27" i="10"/>
  <c r="BB24" i="10"/>
  <c r="BB21" i="10"/>
  <c r="BB17" i="10"/>
  <c r="BB14" i="10"/>
  <c r="BB11" i="10"/>
  <c r="BB8" i="10"/>
  <c r="BC33" i="10"/>
  <c r="BC30" i="10"/>
  <c r="BC27" i="10"/>
  <c r="BC24" i="10"/>
  <c r="BC21" i="10"/>
  <c r="BC17" i="10"/>
  <c r="BC14" i="10"/>
  <c r="BC11" i="10"/>
  <c r="BC8" i="10"/>
  <c r="BD29" i="10"/>
  <c r="BE7" i="10"/>
  <c r="BA29" i="10"/>
  <c r="BB7" i="10"/>
  <c r="BB29" i="10"/>
  <c r="BB23" i="10"/>
  <c r="BB16" i="10"/>
  <c r="BC7" i="10"/>
  <c r="BC29" i="10"/>
  <c r="BC23" i="10"/>
  <c r="BC16" i="10"/>
  <c r="BC13" i="10"/>
  <c r="BB34" i="10"/>
  <c r="BB31" i="10"/>
  <c r="BB28" i="10"/>
  <c r="BB25" i="10"/>
  <c r="BB22" i="10"/>
  <c r="BB18" i="10"/>
  <c r="BB15" i="10"/>
  <c r="BB12" i="10"/>
  <c r="BB9" i="10"/>
  <c r="BC34" i="10"/>
  <c r="BC31" i="10"/>
  <c r="BC28" i="10"/>
  <c r="BC25" i="10"/>
  <c r="BC22" i="10"/>
  <c r="BC18" i="10"/>
  <c r="BC15" i="10"/>
  <c r="BC12" i="10"/>
  <c r="BC9" i="10"/>
  <c r="BD24" i="10"/>
  <c r="AO15" i="10"/>
  <c r="AP31" i="10"/>
  <c r="AP25" i="10"/>
  <c r="AP18" i="10"/>
  <c r="AP12" i="10"/>
  <c r="AQ34" i="10"/>
  <c r="AQ28" i="10"/>
  <c r="AQ22" i="10"/>
  <c r="AQ15" i="10"/>
  <c r="BF15" i="10" s="1"/>
  <c r="AQ9" i="10"/>
  <c r="BF9" i="10" s="1"/>
  <c r="AS34" i="10"/>
  <c r="AS31" i="10"/>
  <c r="AS28" i="10"/>
  <c r="AS22" i="10"/>
  <c r="AS18" i="10"/>
  <c r="AS15" i="10"/>
  <c r="AS12" i="10"/>
  <c r="AS9" i="10"/>
  <c r="AO10" i="10"/>
  <c r="AP7" i="10"/>
  <c r="AP32" i="10"/>
  <c r="AP29" i="10"/>
  <c r="AP26" i="10"/>
  <c r="AP23" i="10"/>
  <c r="AP19" i="10"/>
  <c r="AP16" i="10"/>
  <c r="AP13" i="10"/>
  <c r="AP10" i="10"/>
  <c r="AQ7" i="10"/>
  <c r="BF7" i="10" s="1"/>
  <c r="AQ32" i="10"/>
  <c r="AQ29" i="10"/>
  <c r="BF29" i="10" s="1"/>
  <c r="AQ26" i="10"/>
  <c r="AQ23" i="10"/>
  <c r="BF23" i="10" s="1"/>
  <c r="AQ19" i="10"/>
  <c r="AQ16" i="10"/>
  <c r="AQ13" i="10"/>
  <c r="AQ10" i="10"/>
  <c r="BF10" i="10" s="1"/>
  <c r="AS7" i="10"/>
  <c r="AS32" i="10"/>
  <c r="AS29" i="10"/>
  <c r="AS26" i="10"/>
  <c r="AS23" i="10"/>
  <c r="AS19" i="10"/>
  <c r="AS16" i="10"/>
  <c r="AS13" i="10"/>
  <c r="AS10" i="10"/>
  <c r="AP34" i="10"/>
  <c r="AP28" i="10"/>
  <c r="AP22" i="10"/>
  <c r="AP15" i="10"/>
  <c r="AP9" i="10"/>
  <c r="AQ31" i="10"/>
  <c r="AQ25" i="10"/>
  <c r="AQ18" i="10"/>
  <c r="BF18" i="10" s="1"/>
  <c r="AQ12" i="10"/>
  <c r="BF12" i="10" s="1"/>
  <c r="AS25" i="10"/>
  <c r="AP33" i="10"/>
  <c r="AP30" i="10"/>
  <c r="AP27" i="10"/>
  <c r="AP24" i="10"/>
  <c r="AP21" i="10"/>
  <c r="AP17" i="10"/>
  <c r="AP14" i="10"/>
  <c r="AP11" i="10"/>
  <c r="AP8" i="10"/>
  <c r="AQ33" i="10"/>
  <c r="AQ30" i="10"/>
  <c r="AQ27" i="10"/>
  <c r="BF27" i="10" s="1"/>
  <c r="AQ24" i="10"/>
  <c r="BF24" i="10" s="1"/>
  <c r="AQ21" i="10"/>
  <c r="AQ17" i="10"/>
  <c r="AQ14" i="10"/>
  <c r="BF14" i="10" s="1"/>
  <c r="AQ11" i="10"/>
  <c r="BF11" i="10" s="1"/>
  <c r="AQ8" i="10"/>
  <c r="BF8" i="10" s="1"/>
  <c r="AS33" i="10"/>
  <c r="AS30" i="10"/>
  <c r="AS27" i="10"/>
  <c r="AS24" i="10"/>
  <c r="AS21" i="10"/>
  <c r="AS17" i="10"/>
  <c r="AS14" i="10"/>
  <c r="AS11" i="10"/>
  <c r="S7" i="10"/>
  <c r="T33" i="10"/>
  <c r="T14" i="10"/>
  <c r="W7" i="10"/>
  <c r="W32" i="10"/>
  <c r="W29" i="10"/>
  <c r="W26" i="10"/>
  <c r="W19" i="10"/>
  <c r="W16" i="10"/>
  <c r="W13" i="10"/>
  <c r="W10" i="10"/>
  <c r="U7" i="10"/>
  <c r="T27" i="10"/>
  <c r="T17" i="10"/>
  <c r="T8" i="10"/>
  <c r="W33" i="10"/>
  <c r="W30" i="10"/>
  <c r="W27" i="10"/>
  <c r="W17" i="10"/>
  <c r="W14" i="10"/>
  <c r="W11" i="10"/>
  <c r="S12" i="10"/>
  <c r="T7" i="10"/>
  <c r="T32" i="10"/>
  <c r="T29" i="10"/>
  <c r="T26" i="10"/>
  <c r="T19" i="10"/>
  <c r="T16" i="10"/>
  <c r="T13" i="10"/>
  <c r="T10" i="10"/>
  <c r="T34" i="10"/>
  <c r="T31" i="10"/>
  <c r="T28" i="10"/>
  <c r="T25" i="10"/>
  <c r="T18" i="10"/>
  <c r="T15" i="10"/>
  <c r="T12" i="10"/>
  <c r="J96" i="10"/>
  <c r="F96" i="10"/>
  <c r="J95" i="10"/>
  <c r="F95" i="10"/>
  <c r="J94" i="10"/>
  <c r="F94" i="10"/>
  <c r="J93" i="10"/>
  <c r="F93" i="10"/>
  <c r="J92" i="10"/>
  <c r="F92" i="10"/>
  <c r="J88" i="10"/>
  <c r="F88" i="10"/>
  <c r="F87" i="10"/>
  <c r="F86" i="10"/>
  <c r="J85" i="10"/>
  <c r="F85" i="10"/>
  <c r="J84" i="10"/>
  <c r="F84" i="10"/>
  <c r="J80" i="10"/>
  <c r="F80" i="10"/>
  <c r="J79" i="10"/>
  <c r="F79" i="10"/>
  <c r="F78" i="10"/>
  <c r="J77" i="10"/>
  <c r="F77" i="10"/>
  <c r="J76" i="10"/>
  <c r="F76" i="10"/>
  <c r="F75" i="10"/>
  <c r="F74" i="10"/>
  <c r="J73" i="10"/>
  <c r="F73" i="10"/>
  <c r="J69" i="10"/>
  <c r="F69" i="10"/>
  <c r="J68" i="10"/>
  <c r="F68" i="10"/>
  <c r="J67" i="10"/>
  <c r="F67" i="10"/>
  <c r="F66" i="10"/>
  <c r="F65" i="10"/>
  <c r="F64" i="10"/>
  <c r="J60" i="10"/>
  <c r="F60" i="10"/>
  <c r="J59" i="10"/>
  <c r="F59" i="10"/>
  <c r="F58" i="10"/>
  <c r="J57" i="10"/>
  <c r="F57" i="10"/>
  <c r="G57" i="10" s="1"/>
  <c r="J56" i="10"/>
  <c r="F56" i="10"/>
  <c r="G56" i="10" s="1"/>
  <c r="F55" i="10"/>
  <c r="J42" i="10"/>
  <c r="F42" i="10"/>
  <c r="F41" i="10"/>
  <c r="F40" i="10"/>
  <c r="J39" i="10"/>
  <c r="F39" i="10"/>
  <c r="G39" i="10" s="1"/>
  <c r="J38" i="10"/>
  <c r="F38" i="10"/>
  <c r="F34" i="10"/>
  <c r="J34" i="10" s="1"/>
  <c r="F33" i="10"/>
  <c r="J33" i="10" s="1"/>
  <c r="F32" i="10"/>
  <c r="J32" i="10" s="1"/>
  <c r="F31" i="10"/>
  <c r="J31" i="10" s="1"/>
  <c r="F30" i="10"/>
  <c r="J30" i="10" s="1"/>
  <c r="F29" i="10"/>
  <c r="J29" i="10" s="1"/>
  <c r="F28" i="10"/>
  <c r="J28" i="10" s="1"/>
  <c r="F27" i="10"/>
  <c r="J27" i="10" s="1"/>
  <c r="F26" i="10"/>
  <c r="J26" i="10" s="1"/>
  <c r="F25" i="10"/>
  <c r="J25" i="10" s="1"/>
  <c r="F24" i="10"/>
  <c r="J24" i="10" s="1"/>
  <c r="F23" i="10"/>
  <c r="F22" i="10"/>
  <c r="J22" i="10" s="1"/>
  <c r="F21" i="10"/>
  <c r="J21" i="10" s="1"/>
  <c r="F19" i="10"/>
  <c r="J19" i="10" s="1"/>
  <c r="F18" i="10"/>
  <c r="J18" i="10" s="1"/>
  <c r="F17" i="10"/>
  <c r="J17" i="10" s="1"/>
  <c r="F16" i="10"/>
  <c r="J16" i="10" s="1"/>
  <c r="F15" i="10"/>
  <c r="J15" i="10" s="1"/>
  <c r="F14" i="10"/>
  <c r="F13" i="10"/>
  <c r="J13" i="10" s="1"/>
  <c r="F12" i="10"/>
  <c r="J12" i="10" s="1"/>
  <c r="F11" i="10"/>
  <c r="J11" i="10" s="1"/>
  <c r="F10" i="10"/>
  <c r="J10" i="10" s="1"/>
  <c r="F9" i="10"/>
  <c r="J9" i="10" s="1"/>
  <c r="F8" i="10"/>
  <c r="F7" i="10"/>
  <c r="F2" i="10"/>
  <c r="G38" i="10" l="1"/>
  <c r="H47" i="10"/>
  <c r="H49" i="10"/>
  <c r="K49" i="10"/>
  <c r="I54" i="10"/>
  <c r="K47" i="10"/>
  <c r="H46" i="10"/>
  <c r="I52" i="10"/>
  <c r="J33" i="1" s="1"/>
  <c r="K44" i="10"/>
  <c r="I47" i="10"/>
  <c r="J50" i="1" s="1"/>
  <c r="K50" i="10"/>
  <c r="H50" i="10"/>
  <c r="K54" i="10"/>
  <c r="J53" i="10"/>
  <c r="K48" i="10"/>
  <c r="I49" i="10"/>
  <c r="J54" i="1" s="1"/>
  <c r="I53" i="10"/>
  <c r="K53" i="10"/>
  <c r="H53" i="10"/>
  <c r="H48" i="10"/>
  <c r="H54" i="10"/>
  <c r="G53" i="10"/>
  <c r="K46" i="10"/>
  <c r="I48" i="10"/>
  <c r="J43" i="1" s="1"/>
  <c r="I51" i="10"/>
  <c r="K52" i="10"/>
  <c r="H52" i="10"/>
  <c r="H45" i="10"/>
  <c r="I44" i="10"/>
  <c r="K45" i="10"/>
  <c r="I46" i="10"/>
  <c r="I50" i="10"/>
  <c r="J35" i="1" s="1"/>
  <c r="K51" i="10"/>
  <c r="H51" i="10"/>
  <c r="I45" i="10"/>
  <c r="H44" i="10"/>
  <c r="U21" i="10"/>
  <c r="U24" i="10"/>
  <c r="U20" i="10"/>
  <c r="U22" i="10"/>
  <c r="U23" i="10"/>
  <c r="G22" i="10"/>
  <c r="G33" i="10"/>
  <c r="K90" i="10"/>
  <c r="G26" i="10"/>
  <c r="G28" i="10"/>
  <c r="G30" i="10"/>
  <c r="H90" i="10"/>
  <c r="H84" i="10"/>
  <c r="I91" i="10"/>
  <c r="J81" i="1" s="1"/>
  <c r="H89" i="10"/>
  <c r="H91" i="10"/>
  <c r="K91" i="10"/>
  <c r="K89" i="10"/>
  <c r="I90" i="10"/>
  <c r="J82" i="1" s="1"/>
  <c r="I89" i="10"/>
  <c r="J79" i="1" s="1"/>
  <c r="I72" i="10"/>
  <c r="J65" i="1" s="1"/>
  <c r="I38" i="10"/>
  <c r="J42" i="1" s="1"/>
  <c r="H71" i="10"/>
  <c r="K72" i="10"/>
  <c r="J66" i="10"/>
  <c r="H38" i="10"/>
  <c r="H70" i="10"/>
  <c r="K71" i="10"/>
  <c r="I70" i="10"/>
  <c r="J69" i="1" s="1"/>
  <c r="K70" i="10"/>
  <c r="H72" i="10"/>
  <c r="I71" i="10"/>
  <c r="J64" i="1" s="1"/>
  <c r="G21" i="10"/>
  <c r="G25" i="10"/>
  <c r="G32" i="10"/>
  <c r="G16" i="10"/>
  <c r="G31" i="10"/>
  <c r="G34" i="10"/>
  <c r="J14" i="10"/>
  <c r="J23" i="10"/>
  <c r="J8" i="10"/>
  <c r="K67" i="10"/>
  <c r="K73" i="10"/>
  <c r="K76" i="10"/>
  <c r="K79" i="10"/>
  <c r="K68" i="10"/>
  <c r="K74" i="10"/>
  <c r="K80" i="10"/>
  <c r="K66" i="10"/>
  <c r="K69" i="10"/>
  <c r="K75" i="10"/>
  <c r="K78" i="10"/>
  <c r="K64" i="10"/>
  <c r="K65" i="10"/>
  <c r="K77" i="10"/>
  <c r="I57" i="10"/>
  <c r="J52" i="1" s="1"/>
  <c r="G42" i="10"/>
  <c r="K58" i="10"/>
  <c r="K55" i="10"/>
  <c r="K40" i="10"/>
  <c r="K60" i="10"/>
  <c r="K57" i="10"/>
  <c r="K42" i="10"/>
  <c r="K39" i="10"/>
  <c r="K38" i="10"/>
  <c r="K59" i="10"/>
  <c r="K56" i="10"/>
  <c r="K41" i="10"/>
  <c r="K86" i="10"/>
  <c r="K87" i="10"/>
  <c r="K92" i="10"/>
  <c r="K95" i="10"/>
  <c r="K85" i="10"/>
  <c r="K88" i="10"/>
  <c r="K93" i="10"/>
  <c r="K96" i="10"/>
  <c r="K94" i="10"/>
  <c r="K84" i="10"/>
  <c r="G27" i="10"/>
  <c r="U34" i="10"/>
  <c r="U28" i="10"/>
  <c r="U25" i="10"/>
  <c r="G29" i="10"/>
  <c r="U27" i="10"/>
  <c r="U33" i="10"/>
  <c r="U32" i="10"/>
  <c r="U31" i="10"/>
  <c r="U30" i="10"/>
  <c r="K33" i="10"/>
  <c r="K30" i="10"/>
  <c r="K27" i="10"/>
  <c r="K24" i="10"/>
  <c r="K21" i="10"/>
  <c r="K17" i="10"/>
  <c r="K14" i="10"/>
  <c r="K11" i="10"/>
  <c r="K8" i="10"/>
  <c r="K34" i="10"/>
  <c r="K25" i="10"/>
  <c r="K18" i="10"/>
  <c r="K12" i="10"/>
  <c r="U19" i="10"/>
  <c r="U18" i="10"/>
  <c r="U17" i="10"/>
  <c r="U16" i="10"/>
  <c r="U15" i="10"/>
  <c r="U14" i="10"/>
  <c r="U13" i="10"/>
  <c r="U12" i="10"/>
  <c r="U11" i="10"/>
  <c r="U10" i="10"/>
  <c r="U9" i="10"/>
  <c r="U8" i="10"/>
  <c r="K32" i="10"/>
  <c r="K29" i="10"/>
  <c r="K26" i="10"/>
  <c r="K23" i="10"/>
  <c r="K19" i="10"/>
  <c r="K16" i="10"/>
  <c r="K13" i="10"/>
  <c r="K10" i="10"/>
  <c r="K7" i="10"/>
  <c r="K31" i="10"/>
  <c r="K28" i="10"/>
  <c r="K22" i="10"/>
  <c r="K15" i="10"/>
  <c r="K9" i="10"/>
  <c r="U26" i="10"/>
  <c r="U29" i="10"/>
  <c r="G24" i="10"/>
  <c r="G12" i="10"/>
  <c r="J7" i="10"/>
  <c r="G23" i="10"/>
  <c r="G14" i="10"/>
  <c r="H64" i="10"/>
  <c r="J78" i="10"/>
  <c r="J65" i="10"/>
  <c r="G55" i="10"/>
  <c r="J55" i="10"/>
  <c r="I40" i="10"/>
  <c r="J37" i="1" s="1"/>
  <c r="I41" i="10"/>
  <c r="J34" i="1" s="1"/>
  <c r="H42" i="10"/>
  <c r="I42" i="10"/>
  <c r="J51" i="1" s="1"/>
  <c r="H56" i="10"/>
  <c r="I56" i="10"/>
  <c r="J48" i="1" s="1"/>
  <c r="H39" i="10"/>
  <c r="I39" i="10"/>
  <c r="J36" i="1" s="1"/>
  <c r="G40" i="10"/>
  <c r="G41" i="10"/>
  <c r="J39" i="1"/>
  <c r="J49" i="1"/>
  <c r="J40" i="1"/>
  <c r="J41" i="1"/>
  <c r="J32" i="1"/>
  <c r="J46" i="1"/>
  <c r="J47" i="1"/>
  <c r="H55" i="10"/>
  <c r="I55" i="10"/>
  <c r="J44" i="1" s="1"/>
  <c r="H21" i="10"/>
  <c r="H23" i="10"/>
  <c r="H25" i="10"/>
  <c r="H27" i="10"/>
  <c r="H29" i="10"/>
  <c r="H31" i="10"/>
  <c r="H33" i="10"/>
  <c r="J40" i="10"/>
  <c r="J41" i="10"/>
  <c r="H12" i="10"/>
  <c r="H14" i="10"/>
  <c r="H16" i="10"/>
  <c r="H22" i="10"/>
  <c r="H24" i="10"/>
  <c r="H26" i="10"/>
  <c r="H28" i="10"/>
  <c r="H30" i="10"/>
  <c r="H32" i="10"/>
  <c r="H34" i="10"/>
  <c r="H7" i="10"/>
  <c r="H8" i="10"/>
  <c r="H9" i="10"/>
  <c r="H10" i="10"/>
  <c r="H11" i="10"/>
  <c r="I12" i="10"/>
  <c r="H13" i="10"/>
  <c r="I14" i="10"/>
  <c r="H15" i="10"/>
  <c r="I16" i="10"/>
  <c r="H17" i="10"/>
  <c r="G18" i="10"/>
  <c r="I18" i="10"/>
  <c r="G19" i="10"/>
  <c r="I19" i="10"/>
  <c r="I21" i="10"/>
  <c r="I22" i="10"/>
  <c r="I23" i="10"/>
  <c r="I24" i="10"/>
  <c r="I25" i="10"/>
  <c r="I26" i="10"/>
  <c r="I27" i="10"/>
  <c r="I28" i="10"/>
  <c r="I29" i="10"/>
  <c r="I30" i="10"/>
  <c r="I31" i="10"/>
  <c r="I32" i="10"/>
  <c r="I33" i="10"/>
  <c r="I34" i="10"/>
  <c r="I58" i="10"/>
  <c r="J38" i="1" s="1"/>
  <c r="G58" i="10"/>
  <c r="J58" i="10"/>
  <c r="H59" i="10"/>
  <c r="I60" i="10"/>
  <c r="J53" i="1" s="1"/>
  <c r="G60" i="10"/>
  <c r="I65" i="10"/>
  <c r="J58" i="1" s="1"/>
  <c r="G65" i="10"/>
  <c r="H66" i="10"/>
  <c r="I67" i="10"/>
  <c r="J67" i="1" s="1"/>
  <c r="G67" i="10"/>
  <c r="H68" i="10"/>
  <c r="I69" i="10"/>
  <c r="J62" i="1" s="1"/>
  <c r="G69" i="10"/>
  <c r="H73" i="10"/>
  <c r="I74" i="10"/>
  <c r="J71" i="1" s="1"/>
  <c r="G74" i="10"/>
  <c r="J74" i="10"/>
  <c r="H75" i="10"/>
  <c r="I76" i="10"/>
  <c r="G76" i="10"/>
  <c r="H77" i="10"/>
  <c r="I78" i="10"/>
  <c r="J60" i="1" s="1"/>
  <c r="G78" i="10"/>
  <c r="H79" i="10"/>
  <c r="I80" i="10"/>
  <c r="J70" i="1" s="1"/>
  <c r="G80" i="10"/>
  <c r="I85" i="10"/>
  <c r="G85" i="10"/>
  <c r="H86" i="10"/>
  <c r="I87" i="10"/>
  <c r="J78" i="1" s="1"/>
  <c r="G87" i="10"/>
  <c r="J87" i="10"/>
  <c r="H88" i="10"/>
  <c r="H92" i="10"/>
  <c r="I93" i="10"/>
  <c r="G93" i="10"/>
  <c r="H94" i="10"/>
  <c r="I95" i="10"/>
  <c r="G95" i="10"/>
  <c r="H96" i="10"/>
  <c r="G7" i="10"/>
  <c r="I7" i="10"/>
  <c r="G8" i="10"/>
  <c r="I8" i="10"/>
  <c r="G9" i="10"/>
  <c r="I9" i="10"/>
  <c r="G10" i="10"/>
  <c r="I10" i="10"/>
  <c r="G11" i="10"/>
  <c r="I11" i="10"/>
  <c r="G13" i="10"/>
  <c r="I13" i="10"/>
  <c r="G15" i="10"/>
  <c r="I15" i="10"/>
  <c r="G17" i="10"/>
  <c r="I17" i="10"/>
  <c r="H18" i="10"/>
  <c r="H19" i="10"/>
  <c r="H40" i="10"/>
  <c r="H41" i="10"/>
  <c r="H57" i="10"/>
  <c r="H58" i="10"/>
  <c r="I59" i="10"/>
  <c r="J45" i="1" s="1"/>
  <c r="G59" i="10"/>
  <c r="H60" i="10"/>
  <c r="I64" i="10"/>
  <c r="J59" i="1" s="1"/>
  <c r="G64" i="10"/>
  <c r="J64" i="10"/>
  <c r="H65" i="10"/>
  <c r="I66" i="10"/>
  <c r="J72" i="1" s="1"/>
  <c r="G66" i="10"/>
  <c r="H67" i="10"/>
  <c r="I68" i="10"/>
  <c r="J66" i="1" s="1"/>
  <c r="G68" i="10"/>
  <c r="H69" i="10"/>
  <c r="I73" i="10"/>
  <c r="G73" i="10"/>
  <c r="H74" i="10"/>
  <c r="I75" i="10"/>
  <c r="J61" i="1" s="1"/>
  <c r="G75" i="10"/>
  <c r="J75" i="10"/>
  <c r="H76" i="10"/>
  <c r="I77" i="10"/>
  <c r="J63" i="1" s="1"/>
  <c r="G77" i="10"/>
  <c r="H78" i="10"/>
  <c r="I79" i="10"/>
  <c r="J68" i="1" s="1"/>
  <c r="G79" i="10"/>
  <c r="H80" i="10"/>
  <c r="I84" i="10"/>
  <c r="J80" i="1" s="1"/>
  <c r="G84" i="10"/>
  <c r="H85" i="10"/>
  <c r="I86" i="10"/>
  <c r="J77" i="1" s="1"/>
  <c r="G86" i="10"/>
  <c r="J86" i="10"/>
  <c r="H87" i="10"/>
  <c r="I88" i="10"/>
  <c r="J76" i="1" s="1"/>
  <c r="G88" i="10"/>
  <c r="I92" i="10"/>
  <c r="G92" i="10"/>
  <c r="H93" i="10"/>
  <c r="I94" i="10"/>
  <c r="G94" i="10"/>
  <c r="H95" i="10"/>
  <c r="I96" i="10"/>
  <c r="G96" i="10"/>
  <c r="J97" i="9"/>
  <c r="F97" i="9"/>
  <c r="J96" i="9"/>
  <c r="F96" i="9"/>
  <c r="F95" i="9"/>
  <c r="J94" i="9"/>
  <c r="F94" i="9"/>
  <c r="J93" i="9"/>
  <c r="F93" i="9"/>
  <c r="F92" i="9"/>
  <c r="F90" i="9"/>
  <c r="F89" i="9"/>
  <c r="F88" i="9"/>
  <c r="J87" i="9"/>
  <c r="F87" i="9"/>
  <c r="J86" i="9"/>
  <c r="F86" i="9"/>
  <c r="J82" i="9"/>
  <c r="F82" i="9"/>
  <c r="F81" i="9"/>
  <c r="J80" i="9"/>
  <c r="F80" i="9"/>
  <c r="J79" i="9"/>
  <c r="F79" i="9"/>
  <c r="J78" i="9"/>
  <c r="F78" i="9"/>
  <c r="F77" i="9"/>
  <c r="F76" i="9"/>
  <c r="J75" i="9"/>
  <c r="F75" i="9"/>
  <c r="F74" i="9"/>
  <c r="J73" i="9"/>
  <c r="F73" i="9"/>
  <c r="F68" i="9"/>
  <c r="F67" i="9"/>
  <c r="J66" i="9"/>
  <c r="F66" i="9"/>
  <c r="F65" i="9"/>
  <c r="J61" i="9"/>
  <c r="F61" i="9"/>
  <c r="F60" i="9"/>
  <c r="F59" i="9"/>
  <c r="J58" i="9"/>
  <c r="F58" i="9"/>
  <c r="G58" i="9" s="1"/>
  <c r="J57" i="9"/>
  <c r="F57" i="9"/>
  <c r="G57" i="9" s="1"/>
  <c r="J56" i="9"/>
  <c r="F56" i="9"/>
  <c r="G56" i="9" s="1"/>
  <c r="F55" i="9"/>
  <c r="F54" i="9"/>
  <c r="F51" i="9"/>
  <c r="F50" i="9"/>
  <c r="F45" i="9"/>
  <c r="F44" i="9"/>
  <c r="F43" i="9"/>
  <c r="J42" i="9"/>
  <c r="F42" i="9"/>
  <c r="G42" i="9" s="1"/>
  <c r="F41" i="9"/>
  <c r="F40" i="9"/>
  <c r="J39" i="9"/>
  <c r="F39" i="9"/>
  <c r="G39" i="9" s="1"/>
  <c r="J38" i="9"/>
  <c r="F38" i="9"/>
  <c r="J34" i="9"/>
  <c r="F34" i="9"/>
  <c r="G34" i="9" s="1"/>
  <c r="J33" i="9"/>
  <c r="F33" i="9"/>
  <c r="G33" i="9" s="1"/>
  <c r="J32" i="9"/>
  <c r="F32" i="9"/>
  <c r="G32" i="9" s="1"/>
  <c r="J31" i="9"/>
  <c r="F31" i="9"/>
  <c r="G31" i="9" s="1"/>
  <c r="J30" i="9"/>
  <c r="F30" i="9"/>
  <c r="G30" i="9" s="1"/>
  <c r="J29" i="9"/>
  <c r="F29" i="9"/>
  <c r="G29" i="9" s="1"/>
  <c r="J28" i="9"/>
  <c r="F28" i="9"/>
  <c r="G28" i="9" s="1"/>
  <c r="F27" i="9"/>
  <c r="J26" i="9"/>
  <c r="F26" i="9"/>
  <c r="G26" i="9" s="1"/>
  <c r="F25" i="9"/>
  <c r="F24" i="9"/>
  <c r="F23" i="9"/>
  <c r="J22" i="9"/>
  <c r="F22" i="9"/>
  <c r="G22" i="9" s="1"/>
  <c r="F21" i="9"/>
  <c r="F20" i="9"/>
  <c r="F19" i="9"/>
  <c r="S17" i="9"/>
  <c r="J17" i="9"/>
  <c r="F17" i="9"/>
  <c r="S16" i="9"/>
  <c r="F16" i="9"/>
  <c r="S15" i="9"/>
  <c r="F15" i="9"/>
  <c r="S14" i="9"/>
  <c r="F14" i="9"/>
  <c r="S13" i="9"/>
  <c r="F13" i="9"/>
  <c r="S12" i="9"/>
  <c r="F12" i="9"/>
  <c r="S11" i="9"/>
  <c r="F11" i="9"/>
  <c r="F10" i="9"/>
  <c r="F9" i="9"/>
  <c r="F8" i="9"/>
  <c r="J7" i="9"/>
  <c r="F7" i="9"/>
  <c r="F2" i="9"/>
  <c r="J99" i="8"/>
  <c r="F99" i="8"/>
  <c r="J98" i="8"/>
  <c r="F98" i="8"/>
  <c r="F97" i="8"/>
  <c r="J96" i="8"/>
  <c r="F96" i="8"/>
  <c r="J95" i="8"/>
  <c r="F95" i="8"/>
  <c r="J94" i="8"/>
  <c r="F94" i="8"/>
  <c r="F93" i="8"/>
  <c r="J88" i="8"/>
  <c r="F88" i="8"/>
  <c r="J87" i="8"/>
  <c r="F87" i="8"/>
  <c r="J86" i="8"/>
  <c r="F86" i="8"/>
  <c r="J82" i="8"/>
  <c r="F82" i="8"/>
  <c r="F81" i="8"/>
  <c r="J80" i="8"/>
  <c r="F80" i="8"/>
  <c r="J79" i="8"/>
  <c r="F79" i="8"/>
  <c r="F78" i="8"/>
  <c r="J77" i="8"/>
  <c r="F77" i="8"/>
  <c r="J76" i="8"/>
  <c r="F76" i="8"/>
  <c r="J75" i="8"/>
  <c r="F75" i="8"/>
  <c r="F74" i="8"/>
  <c r="J73" i="8"/>
  <c r="F73" i="8"/>
  <c r="F72" i="8"/>
  <c r="F66" i="8"/>
  <c r="F65" i="8"/>
  <c r="J64" i="8"/>
  <c r="F64" i="8"/>
  <c r="J60" i="8"/>
  <c r="J58" i="8"/>
  <c r="J57" i="8"/>
  <c r="G57" i="8"/>
  <c r="J56" i="8"/>
  <c r="G56" i="8"/>
  <c r="F53" i="8"/>
  <c r="J52" i="8"/>
  <c r="F52" i="8"/>
  <c r="G52" i="8" s="1"/>
  <c r="F46" i="8"/>
  <c r="F45" i="8"/>
  <c r="J44" i="8"/>
  <c r="F44" i="8"/>
  <c r="G44" i="8" s="1"/>
  <c r="F43" i="8"/>
  <c r="J42" i="8"/>
  <c r="F42" i="8"/>
  <c r="G42" i="8" s="1"/>
  <c r="F41" i="8"/>
  <c r="J40" i="8"/>
  <c r="F40" i="8"/>
  <c r="G40" i="8" s="1"/>
  <c r="J39" i="8"/>
  <c r="F39" i="8"/>
  <c r="G39" i="8" s="1"/>
  <c r="F38" i="8"/>
  <c r="J34" i="8"/>
  <c r="F34" i="8"/>
  <c r="J33" i="8"/>
  <c r="F33" i="8"/>
  <c r="J32" i="8"/>
  <c r="F32" i="8"/>
  <c r="G32" i="8" s="1"/>
  <c r="J31" i="8"/>
  <c r="F31" i="8"/>
  <c r="G31" i="8" s="1"/>
  <c r="J30" i="8"/>
  <c r="F30" i="8"/>
  <c r="G30" i="8" s="1"/>
  <c r="J29" i="8"/>
  <c r="F29" i="8"/>
  <c r="G29" i="8" s="1"/>
  <c r="J28" i="8"/>
  <c r="F28" i="8"/>
  <c r="G28" i="8" s="1"/>
  <c r="F27" i="8"/>
  <c r="J26" i="8"/>
  <c r="F26" i="8"/>
  <c r="G26" i="8" s="1"/>
  <c r="F25" i="8"/>
  <c r="F24" i="8"/>
  <c r="F23" i="8"/>
  <c r="F19" i="8"/>
  <c r="J18" i="8"/>
  <c r="F18" i="8"/>
  <c r="G18" i="8" s="1"/>
  <c r="S17" i="8"/>
  <c r="F17" i="8"/>
  <c r="S16" i="8"/>
  <c r="F16" i="8"/>
  <c r="S15" i="8"/>
  <c r="J15" i="8"/>
  <c r="F15" i="8"/>
  <c r="S14" i="8"/>
  <c r="F14" i="8"/>
  <c r="S13" i="8"/>
  <c r="J13" i="8"/>
  <c r="F13" i="8"/>
  <c r="S12" i="8"/>
  <c r="F12" i="8"/>
  <c r="S11" i="8"/>
  <c r="F11" i="8"/>
  <c r="F10" i="8"/>
  <c r="F9" i="8"/>
  <c r="F8" i="8"/>
  <c r="F7" i="8"/>
  <c r="F2" i="8"/>
  <c r="I20" i="8" l="1"/>
  <c r="L27" i="1" s="1"/>
  <c r="H20" i="8"/>
  <c r="K20" i="8"/>
  <c r="I22" i="8"/>
  <c r="L28" i="1" s="1"/>
  <c r="G22" i="8"/>
  <c r="K22" i="8"/>
  <c r="H21" i="8"/>
  <c r="I21" i="8"/>
  <c r="L17" i="1" s="1"/>
  <c r="H22" i="8"/>
  <c r="J22" i="8"/>
  <c r="K21" i="8"/>
  <c r="I18" i="9"/>
  <c r="K27" i="1" s="1"/>
  <c r="K18" i="9"/>
  <c r="H18" i="9"/>
  <c r="H54" i="8"/>
  <c r="I55" i="8"/>
  <c r="L54" i="1" s="1"/>
  <c r="I54" i="8"/>
  <c r="L39" i="1" s="1"/>
  <c r="H55" i="8"/>
  <c r="J55" i="8"/>
  <c r="K55" i="8"/>
  <c r="G55" i="8"/>
  <c r="K54" i="8"/>
  <c r="I38" i="9"/>
  <c r="K42" i="1" s="1"/>
  <c r="G40" i="9"/>
  <c r="K66" i="9"/>
  <c r="K74" i="9"/>
  <c r="K76" i="9"/>
  <c r="K88" i="9"/>
  <c r="K65" i="8"/>
  <c r="I88" i="8"/>
  <c r="I94" i="8"/>
  <c r="L77" i="1" s="1"/>
  <c r="I97" i="8"/>
  <c r="J17" i="8"/>
  <c r="I87" i="8"/>
  <c r="I96" i="8"/>
  <c r="I98" i="8"/>
  <c r="I99" i="8"/>
  <c r="K86" i="8"/>
  <c r="H90" i="8"/>
  <c r="I92" i="8"/>
  <c r="L78" i="1" s="1"/>
  <c r="K89" i="8"/>
  <c r="H92" i="8"/>
  <c r="K92" i="8"/>
  <c r="I91" i="8"/>
  <c r="L81" i="1" s="1"/>
  <c r="K91" i="8"/>
  <c r="I89" i="8"/>
  <c r="L79" i="1" s="1"/>
  <c r="H89" i="8"/>
  <c r="K90" i="8"/>
  <c r="H91" i="8"/>
  <c r="I90" i="8"/>
  <c r="L82" i="1" s="1"/>
  <c r="I93" i="8"/>
  <c r="L76" i="1" s="1"/>
  <c r="I95" i="8"/>
  <c r="I53" i="9"/>
  <c r="K43" i="1" s="1"/>
  <c r="H53" i="9"/>
  <c r="I52" i="9"/>
  <c r="K53" i="1" s="1"/>
  <c r="K52" i="9"/>
  <c r="H52" i="9"/>
  <c r="K53" i="9"/>
  <c r="I70" i="9"/>
  <c r="K64" i="1" s="1"/>
  <c r="K71" i="9"/>
  <c r="H70" i="9"/>
  <c r="I69" i="9"/>
  <c r="K69" i="1" s="1"/>
  <c r="K72" i="9"/>
  <c r="H71" i="9"/>
  <c r="K69" i="9"/>
  <c r="I72" i="9"/>
  <c r="I71" i="9"/>
  <c r="K65" i="1" s="1"/>
  <c r="K65" i="9"/>
  <c r="H72" i="9"/>
  <c r="K70" i="9"/>
  <c r="H69" i="9"/>
  <c r="K73" i="9"/>
  <c r="K75" i="9"/>
  <c r="K77" i="9"/>
  <c r="K79" i="9"/>
  <c r="K87" i="9"/>
  <c r="J89" i="9"/>
  <c r="K89" i="9"/>
  <c r="K93" i="9"/>
  <c r="G38" i="9"/>
  <c r="J65" i="9"/>
  <c r="K67" i="9"/>
  <c r="K78" i="9"/>
  <c r="K81" i="9"/>
  <c r="I91" i="9"/>
  <c r="K77" i="1" s="1"/>
  <c r="K86" i="9"/>
  <c r="K91" i="9"/>
  <c r="H91" i="9"/>
  <c r="K90" i="9"/>
  <c r="K95" i="9"/>
  <c r="K97" i="9"/>
  <c r="K68" i="9"/>
  <c r="K80" i="9"/>
  <c r="K82" i="9"/>
  <c r="K92" i="9"/>
  <c r="K94" i="9"/>
  <c r="K96" i="9"/>
  <c r="J18" i="1"/>
  <c r="J19" i="1"/>
  <c r="J24" i="1"/>
  <c r="J23" i="1"/>
  <c r="J20" i="1"/>
  <c r="G19" i="9"/>
  <c r="H64" i="8"/>
  <c r="K72" i="8"/>
  <c r="K74" i="8"/>
  <c r="K76" i="8"/>
  <c r="K81" i="8"/>
  <c r="K87" i="8"/>
  <c r="K93" i="8"/>
  <c r="K95" i="8"/>
  <c r="L43" i="1"/>
  <c r="K69" i="8"/>
  <c r="K64" i="8"/>
  <c r="K68" i="8"/>
  <c r="H69" i="8"/>
  <c r="K71" i="8"/>
  <c r="H70" i="8"/>
  <c r="I71" i="8"/>
  <c r="L65" i="1" s="1"/>
  <c r="K67" i="8"/>
  <c r="I69" i="8"/>
  <c r="L61" i="1" s="1"/>
  <c r="I67" i="8"/>
  <c r="L66" i="1" s="1"/>
  <c r="H71" i="8"/>
  <c r="I68" i="8"/>
  <c r="L71" i="1" s="1"/>
  <c r="I70" i="8"/>
  <c r="L64" i="1" s="1"/>
  <c r="H67" i="8"/>
  <c r="K70" i="8"/>
  <c r="H68" i="8"/>
  <c r="J65" i="8"/>
  <c r="K73" i="8"/>
  <c r="K75" i="8"/>
  <c r="J78" i="8"/>
  <c r="K78" i="8"/>
  <c r="K80" i="8"/>
  <c r="K82" i="8"/>
  <c r="H86" i="8"/>
  <c r="K94" i="8"/>
  <c r="K97" i="8"/>
  <c r="K99" i="8"/>
  <c r="K66" i="8"/>
  <c r="K77" i="8"/>
  <c r="K79" i="8"/>
  <c r="K88" i="8"/>
  <c r="K96" i="8"/>
  <c r="K98" i="8"/>
  <c r="K33" i="8"/>
  <c r="K30" i="8"/>
  <c r="K27" i="8"/>
  <c r="K24" i="8"/>
  <c r="K17" i="8"/>
  <c r="K14" i="8"/>
  <c r="K11" i="8"/>
  <c r="K8" i="8"/>
  <c r="K31" i="8"/>
  <c r="K25" i="8"/>
  <c r="K18" i="8"/>
  <c r="K12" i="8"/>
  <c r="K32" i="8"/>
  <c r="K29" i="8"/>
  <c r="K26" i="8"/>
  <c r="K23" i="8"/>
  <c r="K19" i="8"/>
  <c r="K16" i="8"/>
  <c r="K13" i="8"/>
  <c r="K10" i="8"/>
  <c r="K7" i="8"/>
  <c r="K28" i="8"/>
  <c r="K15" i="8"/>
  <c r="K9" i="8"/>
  <c r="K34" i="8"/>
  <c r="G33" i="8"/>
  <c r="G34" i="8"/>
  <c r="K33" i="9"/>
  <c r="K30" i="9"/>
  <c r="K27" i="9"/>
  <c r="K24" i="9"/>
  <c r="K21" i="9"/>
  <c r="K17" i="9"/>
  <c r="K14" i="9"/>
  <c r="K11" i="9"/>
  <c r="K8" i="9"/>
  <c r="K32" i="9"/>
  <c r="K29" i="9"/>
  <c r="K26" i="9"/>
  <c r="K23" i="9"/>
  <c r="K20" i="9"/>
  <c r="K16" i="9"/>
  <c r="K31" i="9"/>
  <c r="K25" i="9"/>
  <c r="K19" i="9"/>
  <c r="K12" i="9"/>
  <c r="K13" i="9"/>
  <c r="K10" i="9"/>
  <c r="K7" i="9"/>
  <c r="K34" i="9"/>
  <c r="K28" i="9"/>
  <c r="K22" i="9"/>
  <c r="K15" i="9"/>
  <c r="K9" i="9"/>
  <c r="J59" i="9"/>
  <c r="H38" i="9"/>
  <c r="J40" i="9"/>
  <c r="H40" i="9"/>
  <c r="J6" i="1"/>
  <c r="K59" i="8"/>
  <c r="K38" i="8"/>
  <c r="K58" i="8"/>
  <c r="K46" i="8"/>
  <c r="K43" i="8"/>
  <c r="K40" i="8"/>
  <c r="K60" i="8"/>
  <c r="K57" i="8"/>
  <c r="K53" i="8"/>
  <c r="K45" i="8"/>
  <c r="K42" i="8"/>
  <c r="K39" i="8"/>
  <c r="K56" i="8"/>
  <c r="K52" i="8"/>
  <c r="K44" i="8"/>
  <c r="K41" i="8"/>
  <c r="K59" i="9"/>
  <c r="K56" i="9"/>
  <c r="K51" i="9"/>
  <c r="K43" i="9"/>
  <c r="K40" i="9"/>
  <c r="K57" i="9"/>
  <c r="K54" i="9"/>
  <c r="K44" i="9"/>
  <c r="K38" i="9"/>
  <c r="K61" i="9"/>
  <c r="K58" i="9"/>
  <c r="K55" i="9"/>
  <c r="K50" i="9"/>
  <c r="K45" i="9"/>
  <c r="K42" i="9"/>
  <c r="K39" i="9"/>
  <c r="K60" i="9"/>
  <c r="K41" i="9"/>
  <c r="H86" i="9"/>
  <c r="J92" i="9"/>
  <c r="J88" i="9"/>
  <c r="J77" i="9"/>
  <c r="J76" i="9"/>
  <c r="H65" i="9"/>
  <c r="I40" i="9"/>
  <c r="K37" i="1" s="1"/>
  <c r="G41" i="9"/>
  <c r="G43" i="9"/>
  <c r="J43" i="9"/>
  <c r="J44" i="9"/>
  <c r="G54" i="9"/>
  <c r="J54" i="9"/>
  <c r="G44" i="9"/>
  <c r="H43" i="9"/>
  <c r="I43" i="9"/>
  <c r="K52" i="1" s="1"/>
  <c r="I45" i="9"/>
  <c r="K40" i="1" s="1"/>
  <c r="K46" i="1"/>
  <c r="G50" i="9"/>
  <c r="G51" i="9"/>
  <c r="H54" i="9"/>
  <c r="I54" i="9"/>
  <c r="K41" i="1" s="1"/>
  <c r="G55" i="9"/>
  <c r="H39" i="9"/>
  <c r="I39" i="9"/>
  <c r="K36" i="1" s="1"/>
  <c r="I41" i="9"/>
  <c r="K34" i="1" s="1"/>
  <c r="H42" i="9"/>
  <c r="I42" i="9"/>
  <c r="K51" i="1" s="1"/>
  <c r="H44" i="9"/>
  <c r="I44" i="9"/>
  <c r="K49" i="1" s="1"/>
  <c r="G45" i="9"/>
  <c r="K35" i="1"/>
  <c r="I50" i="9"/>
  <c r="K32" i="1" s="1"/>
  <c r="H51" i="9"/>
  <c r="J51" i="9"/>
  <c r="H57" i="9"/>
  <c r="I57" i="9"/>
  <c r="K48" i="1" s="1"/>
  <c r="I51" i="9"/>
  <c r="K33" i="1" s="1"/>
  <c r="I55" i="9"/>
  <c r="K47" i="1" s="1"/>
  <c r="H56" i="9"/>
  <c r="I56" i="9"/>
  <c r="K39" i="1" s="1"/>
  <c r="I58" i="9"/>
  <c r="J19" i="9"/>
  <c r="J13" i="9"/>
  <c r="J15" i="9"/>
  <c r="I7" i="9"/>
  <c r="K19" i="1" s="1"/>
  <c r="G7" i="9"/>
  <c r="I34" i="9"/>
  <c r="K24" i="1" s="1"/>
  <c r="I33" i="9"/>
  <c r="K22" i="1" s="1"/>
  <c r="I32" i="9"/>
  <c r="I31" i="9"/>
  <c r="I30" i="9"/>
  <c r="K26" i="1" s="1"/>
  <c r="I29" i="9"/>
  <c r="K23" i="1" s="1"/>
  <c r="I28" i="9"/>
  <c r="I27" i="9"/>
  <c r="K20" i="1" s="1"/>
  <c r="G27" i="9"/>
  <c r="I26" i="9"/>
  <c r="I25" i="9"/>
  <c r="K16" i="1" s="1"/>
  <c r="G25" i="9"/>
  <c r="I24" i="9"/>
  <c r="K8" i="1" s="1"/>
  <c r="G24" i="9"/>
  <c r="I23" i="9"/>
  <c r="K21" i="1" s="1"/>
  <c r="G23" i="9"/>
  <c r="I22" i="9"/>
  <c r="K28" i="1" s="1"/>
  <c r="I21" i="9"/>
  <c r="K17" i="1" s="1"/>
  <c r="G21" i="9"/>
  <c r="I20" i="9"/>
  <c r="K25" i="1" s="1"/>
  <c r="G20" i="9"/>
  <c r="I19" i="9"/>
  <c r="K18" i="1" s="1"/>
  <c r="I16" i="9"/>
  <c r="K15" i="1" s="1"/>
  <c r="G16" i="9"/>
  <c r="I14" i="9"/>
  <c r="K14" i="1" s="1"/>
  <c r="G14" i="9"/>
  <c r="I12" i="9"/>
  <c r="K10" i="1" s="1"/>
  <c r="G12" i="9"/>
  <c r="H8" i="9"/>
  <c r="I9" i="9"/>
  <c r="G9" i="9"/>
  <c r="J9" i="9"/>
  <c r="H10" i="9"/>
  <c r="J14" i="9"/>
  <c r="H19" i="9"/>
  <c r="J21" i="9"/>
  <c r="J23" i="9"/>
  <c r="J25" i="9"/>
  <c r="J27" i="9"/>
  <c r="H29" i="9"/>
  <c r="H31" i="9"/>
  <c r="H33" i="9"/>
  <c r="J45" i="9"/>
  <c r="H7" i="9"/>
  <c r="I8" i="9"/>
  <c r="K6" i="1" s="1"/>
  <c r="G8" i="9"/>
  <c r="J8" i="9"/>
  <c r="H9" i="9"/>
  <c r="I10" i="9"/>
  <c r="K12" i="1" s="1"/>
  <c r="G10" i="9"/>
  <c r="J10" i="9"/>
  <c r="J12" i="9"/>
  <c r="J16" i="9"/>
  <c r="J20" i="9"/>
  <c r="H22" i="9"/>
  <c r="J24" i="9"/>
  <c r="H26" i="9"/>
  <c r="H28" i="9"/>
  <c r="H30" i="9"/>
  <c r="H32" i="9"/>
  <c r="H34" i="9"/>
  <c r="J41" i="9"/>
  <c r="J50" i="9"/>
  <c r="J55" i="9"/>
  <c r="H11" i="9"/>
  <c r="J11" i="9"/>
  <c r="H13" i="9"/>
  <c r="H15" i="9"/>
  <c r="H17" i="9"/>
  <c r="I59" i="9"/>
  <c r="K38" i="1" s="1"/>
  <c r="G59" i="9"/>
  <c r="H60" i="9"/>
  <c r="I61" i="9"/>
  <c r="K44" i="1" s="1"/>
  <c r="G61" i="9"/>
  <c r="I66" i="9"/>
  <c r="K58" i="1" s="1"/>
  <c r="G66" i="9"/>
  <c r="H67" i="9"/>
  <c r="I68" i="9"/>
  <c r="K67" i="1" s="1"/>
  <c r="G68" i="9"/>
  <c r="J68" i="9"/>
  <c r="H73" i="9"/>
  <c r="I74" i="9"/>
  <c r="K68" i="1" s="1"/>
  <c r="G74" i="9"/>
  <c r="J74" i="9"/>
  <c r="H75" i="9"/>
  <c r="I76" i="9"/>
  <c r="K71" i="1" s="1"/>
  <c r="G76" i="9"/>
  <c r="H77" i="9"/>
  <c r="I78" i="9"/>
  <c r="G78" i="9"/>
  <c r="H79" i="9"/>
  <c r="I80" i="9"/>
  <c r="K60" i="1" s="1"/>
  <c r="G80" i="9"/>
  <c r="H81" i="9"/>
  <c r="I82" i="9"/>
  <c r="K70" i="1" s="1"/>
  <c r="G82" i="9"/>
  <c r="I87" i="9"/>
  <c r="G87" i="9"/>
  <c r="H88" i="9"/>
  <c r="I89" i="9"/>
  <c r="K82" i="1" s="1"/>
  <c r="G89" i="9"/>
  <c r="H90" i="9"/>
  <c r="I92" i="9"/>
  <c r="K81" i="1" s="1"/>
  <c r="G92" i="9"/>
  <c r="H93" i="9"/>
  <c r="I94" i="9"/>
  <c r="G94" i="9"/>
  <c r="H95" i="9"/>
  <c r="I96" i="9"/>
  <c r="K78" i="1" s="1"/>
  <c r="G96" i="9"/>
  <c r="H97" i="9"/>
  <c r="G11" i="9"/>
  <c r="I11" i="9"/>
  <c r="K13" i="1" s="1"/>
  <c r="H12" i="9"/>
  <c r="G13" i="9"/>
  <c r="I13" i="9"/>
  <c r="K11" i="1" s="1"/>
  <c r="H14" i="9"/>
  <c r="G15" i="9"/>
  <c r="I15" i="9"/>
  <c r="K9" i="1" s="1"/>
  <c r="H16" i="9"/>
  <c r="G17" i="9"/>
  <c r="I17" i="9"/>
  <c r="H20" i="9"/>
  <c r="H21" i="9"/>
  <c r="H23" i="9"/>
  <c r="H24" i="9"/>
  <c r="H25" i="9"/>
  <c r="H27" i="9"/>
  <c r="H41" i="9"/>
  <c r="H45" i="9"/>
  <c r="H50" i="9"/>
  <c r="H55" i="9"/>
  <c r="H58" i="9"/>
  <c r="H59" i="9"/>
  <c r="I60" i="9"/>
  <c r="K45" i="1" s="1"/>
  <c r="G60" i="9"/>
  <c r="J60" i="9"/>
  <c r="H61" i="9"/>
  <c r="I65" i="9"/>
  <c r="K66" i="1" s="1"/>
  <c r="G65" i="9"/>
  <c r="H66" i="9"/>
  <c r="I67" i="9"/>
  <c r="K62" i="1" s="1"/>
  <c r="G67" i="9"/>
  <c r="J67" i="9"/>
  <c r="H68" i="9"/>
  <c r="I73" i="9"/>
  <c r="K72" i="1" s="1"/>
  <c r="G73" i="9"/>
  <c r="H74" i="9"/>
  <c r="I75" i="9"/>
  <c r="G75" i="9"/>
  <c r="H76" i="9"/>
  <c r="I77" i="9"/>
  <c r="K61" i="1" s="1"/>
  <c r="G77" i="9"/>
  <c r="H78" i="9"/>
  <c r="I79" i="9"/>
  <c r="K63" i="1" s="1"/>
  <c r="G79" i="9"/>
  <c r="H80" i="9"/>
  <c r="I81" i="9"/>
  <c r="K59" i="1" s="1"/>
  <c r="G81" i="9"/>
  <c r="J81" i="9"/>
  <c r="H82" i="9"/>
  <c r="I86" i="9"/>
  <c r="K80" i="1" s="1"/>
  <c r="G86" i="9"/>
  <c r="H87" i="9"/>
  <c r="I88" i="9"/>
  <c r="K79" i="1" s="1"/>
  <c r="G88" i="9"/>
  <c r="H89" i="9"/>
  <c r="I90" i="9"/>
  <c r="K76" i="1" s="1"/>
  <c r="G90" i="9"/>
  <c r="J90" i="9"/>
  <c r="H92" i="9"/>
  <c r="I93" i="9"/>
  <c r="G93" i="9"/>
  <c r="H94" i="9"/>
  <c r="I95" i="9"/>
  <c r="G95" i="9"/>
  <c r="J95" i="9"/>
  <c r="H96" i="9"/>
  <c r="I97" i="9"/>
  <c r="G97" i="9"/>
  <c r="G43" i="8"/>
  <c r="J43" i="8"/>
  <c r="J46" i="8"/>
  <c r="H38" i="8"/>
  <c r="G46" i="8"/>
  <c r="I38" i="8"/>
  <c r="L42" i="1" s="1"/>
  <c r="H40" i="8"/>
  <c r="I40" i="8"/>
  <c r="L44" i="1" s="1"/>
  <c r="G41" i="8"/>
  <c r="H43" i="8"/>
  <c r="I43" i="8"/>
  <c r="L51" i="1" s="1"/>
  <c r="I45" i="8"/>
  <c r="L38" i="1" s="1"/>
  <c r="H46" i="8"/>
  <c r="I46" i="8"/>
  <c r="L37" i="1" s="1"/>
  <c r="H52" i="8"/>
  <c r="I52" i="8"/>
  <c r="L41" i="1" s="1"/>
  <c r="G53" i="8"/>
  <c r="H56" i="8"/>
  <c r="I56" i="8"/>
  <c r="L48" i="1" s="1"/>
  <c r="G38" i="8"/>
  <c r="J38" i="8"/>
  <c r="H39" i="8"/>
  <c r="I39" i="8"/>
  <c r="L36" i="1" s="1"/>
  <c r="I41" i="8"/>
  <c r="L34" i="1" s="1"/>
  <c r="H42" i="8"/>
  <c r="I42" i="8"/>
  <c r="L49" i="1" s="1"/>
  <c r="H44" i="8"/>
  <c r="I44" i="8"/>
  <c r="L47" i="1" s="1"/>
  <c r="G45" i="8"/>
  <c r="L35" i="1"/>
  <c r="L32" i="1"/>
  <c r="L33" i="1"/>
  <c r="I53" i="8"/>
  <c r="L53" i="1" s="1"/>
  <c r="I57" i="8"/>
  <c r="L52" i="1" s="1"/>
  <c r="J7" i="8"/>
  <c r="I7" i="8"/>
  <c r="L19" i="1" s="1"/>
  <c r="G7" i="8"/>
  <c r="I34" i="8"/>
  <c r="L24" i="1" s="1"/>
  <c r="I33" i="8"/>
  <c r="L25" i="1" s="1"/>
  <c r="I32" i="8"/>
  <c r="I31" i="8"/>
  <c r="I30" i="8"/>
  <c r="L26" i="1" s="1"/>
  <c r="I29" i="8"/>
  <c r="I28" i="8"/>
  <c r="I27" i="8"/>
  <c r="L20" i="1" s="1"/>
  <c r="G27" i="8"/>
  <c r="I26" i="8"/>
  <c r="I25" i="8"/>
  <c r="L16" i="1" s="1"/>
  <c r="G25" i="8"/>
  <c r="I24" i="8"/>
  <c r="L8" i="1" s="1"/>
  <c r="G24" i="8"/>
  <c r="I23" i="8"/>
  <c r="L22" i="1" s="1"/>
  <c r="G23" i="8"/>
  <c r="I19" i="8"/>
  <c r="L21" i="1" s="1"/>
  <c r="G19" i="8"/>
  <c r="I18" i="8"/>
  <c r="L18" i="1" s="1"/>
  <c r="I16" i="8"/>
  <c r="L15" i="1" s="1"/>
  <c r="G16" i="8"/>
  <c r="I14" i="8"/>
  <c r="L14" i="1" s="1"/>
  <c r="G14" i="8"/>
  <c r="I12" i="8"/>
  <c r="L10" i="1" s="1"/>
  <c r="G12" i="8"/>
  <c r="H8" i="8"/>
  <c r="I9" i="8"/>
  <c r="G9" i="8"/>
  <c r="J9" i="8"/>
  <c r="H10" i="8"/>
  <c r="J14" i="8"/>
  <c r="H18" i="8"/>
  <c r="J23" i="8"/>
  <c r="J25" i="8"/>
  <c r="J27" i="8"/>
  <c r="H29" i="8"/>
  <c r="H31" i="8"/>
  <c r="H33" i="8"/>
  <c r="J45" i="8"/>
  <c r="H7" i="8"/>
  <c r="I8" i="8"/>
  <c r="L6" i="1" s="1"/>
  <c r="G8" i="8"/>
  <c r="J8" i="8"/>
  <c r="H9" i="8"/>
  <c r="I10" i="8"/>
  <c r="L12" i="1" s="1"/>
  <c r="G10" i="8"/>
  <c r="J10" i="8"/>
  <c r="J12" i="8"/>
  <c r="J16" i="8"/>
  <c r="J19" i="8"/>
  <c r="J24" i="8"/>
  <c r="H26" i="8"/>
  <c r="H28" i="8"/>
  <c r="H30" i="8"/>
  <c r="H32" i="8"/>
  <c r="H34" i="8"/>
  <c r="J41" i="8"/>
  <c r="J53" i="8"/>
  <c r="H11" i="8"/>
  <c r="J11" i="8"/>
  <c r="H13" i="8"/>
  <c r="H15" i="8"/>
  <c r="H17" i="8"/>
  <c r="I58" i="8"/>
  <c r="L40" i="1" s="1"/>
  <c r="G58" i="8"/>
  <c r="H59" i="8"/>
  <c r="I60" i="8"/>
  <c r="L46" i="1" s="1"/>
  <c r="G60" i="8"/>
  <c r="I65" i="8"/>
  <c r="L58" i="1" s="1"/>
  <c r="G65" i="8"/>
  <c r="H66" i="8"/>
  <c r="I72" i="8"/>
  <c r="L67" i="1" s="1"/>
  <c r="G72" i="8"/>
  <c r="J72" i="8"/>
  <c r="H73" i="8"/>
  <c r="I74" i="8"/>
  <c r="L68" i="1" s="1"/>
  <c r="G74" i="8"/>
  <c r="J74" i="8"/>
  <c r="H75" i="8"/>
  <c r="I76" i="8"/>
  <c r="G76" i="8"/>
  <c r="H77" i="8"/>
  <c r="I78" i="8"/>
  <c r="L69" i="1" s="1"/>
  <c r="G78" i="8"/>
  <c r="H79" i="8"/>
  <c r="I80" i="8"/>
  <c r="L60" i="1" s="1"/>
  <c r="G80" i="8"/>
  <c r="H81" i="8"/>
  <c r="I82" i="8"/>
  <c r="L70" i="1" s="1"/>
  <c r="G82" i="8"/>
  <c r="G87" i="8"/>
  <c r="H88" i="8"/>
  <c r="H93" i="8"/>
  <c r="G94" i="8"/>
  <c r="H95" i="8"/>
  <c r="G96" i="8"/>
  <c r="H97" i="8"/>
  <c r="G98" i="8"/>
  <c r="H99" i="8"/>
  <c r="G11" i="8"/>
  <c r="I11" i="8"/>
  <c r="L13" i="1" s="1"/>
  <c r="H12" i="8"/>
  <c r="G13" i="8"/>
  <c r="I13" i="8"/>
  <c r="L11" i="1" s="1"/>
  <c r="H14" i="8"/>
  <c r="G15" i="8"/>
  <c r="I15" i="8"/>
  <c r="L9" i="1" s="1"/>
  <c r="H16" i="8"/>
  <c r="G17" i="8"/>
  <c r="I17" i="8"/>
  <c r="L23" i="1" s="1"/>
  <c r="H19" i="8"/>
  <c r="H23" i="8"/>
  <c r="H24" i="8"/>
  <c r="H25" i="8"/>
  <c r="H27" i="8"/>
  <c r="H41" i="8"/>
  <c r="H45" i="8"/>
  <c r="H53" i="8"/>
  <c r="H57" i="8"/>
  <c r="H58" i="8"/>
  <c r="I59" i="8"/>
  <c r="L45" i="1" s="1"/>
  <c r="G59" i="8"/>
  <c r="J59" i="8"/>
  <c r="H60" i="8"/>
  <c r="I64" i="8"/>
  <c r="G64" i="8"/>
  <c r="H65" i="8"/>
  <c r="I66" i="8"/>
  <c r="L62" i="1" s="1"/>
  <c r="G66" i="8"/>
  <c r="J66" i="8"/>
  <c r="H72" i="8"/>
  <c r="I73" i="8"/>
  <c r="L72" i="1" s="1"/>
  <c r="G73" i="8"/>
  <c r="H74" i="8"/>
  <c r="I75" i="8"/>
  <c r="G75" i="8"/>
  <c r="H76" i="8"/>
  <c r="I77" i="8"/>
  <c r="G77" i="8"/>
  <c r="H78" i="8"/>
  <c r="I79" i="8"/>
  <c r="L63" i="1" s="1"/>
  <c r="G79" i="8"/>
  <c r="H80" i="8"/>
  <c r="I81" i="8"/>
  <c r="L59" i="1" s="1"/>
  <c r="G81" i="8"/>
  <c r="J81" i="8"/>
  <c r="H82" i="8"/>
  <c r="I86" i="8"/>
  <c r="L80" i="1" s="1"/>
  <c r="G86" i="8"/>
  <c r="H87" i="8"/>
  <c r="G88" i="8"/>
  <c r="G93" i="8"/>
  <c r="J93" i="8"/>
  <c r="H94" i="8"/>
  <c r="G95" i="8"/>
  <c r="H96" i="8"/>
  <c r="G97" i="8"/>
  <c r="J97" i="8"/>
  <c r="H98" i="8"/>
  <c r="G99" i="8"/>
  <c r="J98" i="7"/>
  <c r="F98" i="7"/>
  <c r="J97" i="7"/>
  <c r="F97" i="7"/>
  <c r="F96" i="7"/>
  <c r="J95" i="7"/>
  <c r="F95" i="7"/>
  <c r="J94" i="7"/>
  <c r="F94" i="7"/>
  <c r="G94" i="7" s="1"/>
  <c r="F93" i="7"/>
  <c r="F92" i="7"/>
  <c r="F91" i="7"/>
  <c r="J86" i="7"/>
  <c r="F86" i="7"/>
  <c r="J85" i="7"/>
  <c r="F85" i="7"/>
  <c r="F81" i="7"/>
  <c r="F80" i="7"/>
  <c r="J79" i="7"/>
  <c r="F79" i="7"/>
  <c r="J78" i="7"/>
  <c r="F78" i="7"/>
  <c r="J77" i="7"/>
  <c r="F77" i="7"/>
  <c r="F76" i="7"/>
  <c r="J75" i="7"/>
  <c r="F75" i="7"/>
  <c r="J74" i="7"/>
  <c r="F74" i="7"/>
  <c r="F73" i="7"/>
  <c r="F72" i="7"/>
  <c r="F71" i="7"/>
  <c r="F66" i="7"/>
  <c r="J65" i="7"/>
  <c r="F65" i="7"/>
  <c r="J64" i="7"/>
  <c r="F64" i="7"/>
  <c r="J60" i="7"/>
  <c r="F60" i="7"/>
  <c r="G60" i="7" s="1"/>
  <c r="F59" i="7"/>
  <c r="J58" i="7"/>
  <c r="F58" i="7"/>
  <c r="F57" i="7"/>
  <c r="F56" i="7"/>
  <c r="F55" i="7"/>
  <c r="F54" i="7"/>
  <c r="F53" i="7"/>
  <c r="J52" i="7"/>
  <c r="F52" i="7"/>
  <c r="F45" i="7"/>
  <c r="F44" i="7"/>
  <c r="J43" i="7"/>
  <c r="F43" i="7"/>
  <c r="G43" i="7" s="1"/>
  <c r="J42" i="7"/>
  <c r="F42" i="7"/>
  <c r="J41" i="7"/>
  <c r="F41" i="7"/>
  <c r="G41" i="7" s="1"/>
  <c r="F40" i="7"/>
  <c r="J39" i="7"/>
  <c r="F39" i="7"/>
  <c r="G39" i="7" s="1"/>
  <c r="F38" i="7"/>
  <c r="J37" i="7"/>
  <c r="F37" i="7"/>
  <c r="J33" i="7"/>
  <c r="F33" i="7"/>
  <c r="J32" i="7"/>
  <c r="F32" i="7"/>
  <c r="J31" i="7"/>
  <c r="F31" i="7"/>
  <c r="J30" i="7"/>
  <c r="F30" i="7"/>
  <c r="J29" i="7"/>
  <c r="F29" i="7"/>
  <c r="J28" i="7"/>
  <c r="F28" i="7"/>
  <c r="J27" i="7"/>
  <c r="F27" i="7"/>
  <c r="F26" i="7"/>
  <c r="J25" i="7"/>
  <c r="F25" i="7"/>
  <c r="F24" i="7"/>
  <c r="F23" i="7"/>
  <c r="F22" i="7"/>
  <c r="F21" i="7"/>
  <c r="F20" i="7"/>
  <c r="F19" i="7"/>
  <c r="J18" i="7"/>
  <c r="F18" i="7"/>
  <c r="R17" i="7"/>
  <c r="J17" i="7"/>
  <c r="F17" i="7"/>
  <c r="G17" i="7" s="1"/>
  <c r="R16" i="7"/>
  <c r="F16" i="7"/>
  <c r="R15" i="7"/>
  <c r="F15" i="7"/>
  <c r="R14" i="7"/>
  <c r="F14" i="7"/>
  <c r="R13" i="7"/>
  <c r="F13" i="7"/>
  <c r="R12" i="7"/>
  <c r="F12" i="7"/>
  <c r="R11" i="7"/>
  <c r="F11" i="7"/>
  <c r="F10" i="7"/>
  <c r="F9" i="7"/>
  <c r="F8" i="7"/>
  <c r="J7" i="7"/>
  <c r="F7" i="7"/>
  <c r="F2" i="7"/>
  <c r="J102" i="6"/>
  <c r="F102" i="6"/>
  <c r="J101" i="6"/>
  <c r="F101" i="6"/>
  <c r="F100" i="6"/>
  <c r="J99" i="6"/>
  <c r="F99" i="6"/>
  <c r="J98" i="6"/>
  <c r="F98" i="6"/>
  <c r="J97" i="6"/>
  <c r="F97" i="6"/>
  <c r="F96" i="6"/>
  <c r="J95" i="6"/>
  <c r="F95" i="6"/>
  <c r="J91" i="6"/>
  <c r="F91" i="6"/>
  <c r="J90" i="6"/>
  <c r="F90" i="6"/>
  <c r="F89" i="6"/>
  <c r="J85" i="6"/>
  <c r="F85" i="6"/>
  <c r="F84" i="6"/>
  <c r="F83" i="6"/>
  <c r="F82" i="6"/>
  <c r="J81" i="6"/>
  <c r="F81" i="6"/>
  <c r="G81" i="6" s="1"/>
  <c r="J80" i="6"/>
  <c r="F80" i="6"/>
  <c r="J79" i="6"/>
  <c r="F79" i="6"/>
  <c r="J78" i="6"/>
  <c r="F78" i="6"/>
  <c r="F77" i="6"/>
  <c r="J76" i="6"/>
  <c r="F76" i="6"/>
  <c r="F69" i="6"/>
  <c r="F68" i="6"/>
  <c r="J67" i="6"/>
  <c r="F67" i="6"/>
  <c r="J66" i="6"/>
  <c r="F66" i="6"/>
  <c r="J62" i="6"/>
  <c r="F62" i="6"/>
  <c r="G62" i="6" s="1"/>
  <c r="F61" i="6"/>
  <c r="F60" i="6"/>
  <c r="J59" i="6"/>
  <c r="F59" i="6"/>
  <c r="J58" i="6"/>
  <c r="F58" i="6"/>
  <c r="J57" i="6"/>
  <c r="F57" i="6"/>
  <c r="F56" i="6"/>
  <c r="J55" i="6"/>
  <c r="F55" i="6"/>
  <c r="F54" i="6"/>
  <c r="F48" i="6"/>
  <c r="F47" i="6"/>
  <c r="J46" i="6"/>
  <c r="F46" i="6"/>
  <c r="F45" i="6"/>
  <c r="J44" i="6"/>
  <c r="F44" i="6"/>
  <c r="J43" i="6"/>
  <c r="F43" i="6"/>
  <c r="G43" i="6" s="1"/>
  <c r="F42" i="6"/>
  <c r="F41" i="6"/>
  <c r="J40" i="6"/>
  <c r="F40" i="6"/>
  <c r="J39" i="6"/>
  <c r="F39" i="6"/>
  <c r="J38" i="6"/>
  <c r="F38" i="6"/>
  <c r="J34" i="6"/>
  <c r="F34" i="6"/>
  <c r="J33" i="6"/>
  <c r="F33" i="6"/>
  <c r="J32" i="6"/>
  <c r="F32" i="6"/>
  <c r="G32" i="6" s="1"/>
  <c r="J31" i="6"/>
  <c r="F31" i="6"/>
  <c r="F30" i="6"/>
  <c r="J29" i="6"/>
  <c r="F29" i="6"/>
  <c r="J28" i="6"/>
  <c r="F28" i="6"/>
  <c r="F27" i="6"/>
  <c r="J26" i="6"/>
  <c r="F26" i="6"/>
  <c r="F25" i="6"/>
  <c r="F24" i="6"/>
  <c r="F23" i="6"/>
  <c r="J22" i="6"/>
  <c r="F22" i="6"/>
  <c r="F21" i="6"/>
  <c r="F20" i="6"/>
  <c r="J18" i="6"/>
  <c r="F18" i="6"/>
  <c r="G18" i="6" s="1"/>
  <c r="J17" i="6"/>
  <c r="F17" i="6"/>
  <c r="F16" i="6"/>
  <c r="F15" i="6"/>
  <c r="F14" i="6"/>
  <c r="F13" i="6"/>
  <c r="F12" i="6"/>
  <c r="F11" i="6"/>
  <c r="F10" i="6"/>
  <c r="F9" i="6"/>
  <c r="F8" i="6"/>
  <c r="J7" i="6"/>
  <c r="F7" i="6"/>
  <c r="H54" i="1" l="1"/>
  <c r="G54" i="1"/>
  <c r="I54" i="1"/>
  <c r="K68" i="6"/>
  <c r="K95" i="6"/>
  <c r="K96" i="6"/>
  <c r="K71" i="7"/>
  <c r="K86" i="7"/>
  <c r="K92" i="7"/>
  <c r="K80" i="6"/>
  <c r="G101" i="6"/>
  <c r="K101" i="6"/>
  <c r="G67" i="6"/>
  <c r="K67" i="6"/>
  <c r="K69" i="6"/>
  <c r="K77" i="6"/>
  <c r="G79" i="6"/>
  <c r="K79" i="6"/>
  <c r="K84" i="6"/>
  <c r="I89" i="6"/>
  <c r="N80" i="1" s="1"/>
  <c r="H92" i="6"/>
  <c r="I94" i="6"/>
  <c r="N81" i="1" s="1"/>
  <c r="K92" i="6"/>
  <c r="H94" i="6"/>
  <c r="K94" i="6"/>
  <c r="K89" i="6"/>
  <c r="K93" i="6"/>
  <c r="H93" i="6"/>
  <c r="I92" i="6"/>
  <c r="N79" i="1" s="1"/>
  <c r="I93" i="6"/>
  <c r="N82" i="1" s="1"/>
  <c r="K91" i="6"/>
  <c r="G95" i="6"/>
  <c r="K97" i="6"/>
  <c r="K98" i="6"/>
  <c r="K83" i="6"/>
  <c r="G99" i="6"/>
  <c r="K99" i="6"/>
  <c r="K66" i="6"/>
  <c r="I74" i="6"/>
  <c r="N64" i="1" s="1"/>
  <c r="I71" i="6"/>
  <c r="N71" i="1" s="1"/>
  <c r="H75" i="6"/>
  <c r="K73" i="6"/>
  <c r="H72" i="6"/>
  <c r="K70" i="6"/>
  <c r="I73" i="6"/>
  <c r="N69" i="1" s="1"/>
  <c r="I70" i="6"/>
  <c r="N66" i="1" s="1"/>
  <c r="I75" i="6"/>
  <c r="N65" i="1" s="1"/>
  <c r="K74" i="6"/>
  <c r="H73" i="6"/>
  <c r="K71" i="6"/>
  <c r="I72" i="6"/>
  <c r="N61" i="1" s="1"/>
  <c r="H70" i="6"/>
  <c r="K75" i="6"/>
  <c r="H74" i="6"/>
  <c r="K72" i="6"/>
  <c r="H71" i="6"/>
  <c r="K76" i="6"/>
  <c r="K78" i="6"/>
  <c r="K81" i="6"/>
  <c r="K82" i="6"/>
  <c r="K85" i="6"/>
  <c r="G90" i="6"/>
  <c r="K90" i="6"/>
  <c r="G97" i="6"/>
  <c r="K100" i="6"/>
  <c r="K102" i="6"/>
  <c r="I53" i="6"/>
  <c r="N43" i="1" s="1"/>
  <c r="N51" i="1"/>
  <c r="H53" i="6"/>
  <c r="K53" i="6"/>
  <c r="N53" i="1"/>
  <c r="AF10" i="6"/>
  <c r="AF26" i="6"/>
  <c r="AF9" i="6"/>
  <c r="AF18" i="6"/>
  <c r="AF28" i="6"/>
  <c r="AF16" i="6"/>
  <c r="AF23" i="6"/>
  <c r="AF32" i="6"/>
  <c r="AF13" i="6"/>
  <c r="AF20" i="6"/>
  <c r="AF12" i="6"/>
  <c r="AF22" i="6"/>
  <c r="AF31" i="6"/>
  <c r="AF33" i="6"/>
  <c r="AF30" i="6"/>
  <c r="AF27" i="6"/>
  <c r="AF24" i="6"/>
  <c r="AF21" i="6"/>
  <c r="AF17" i="6"/>
  <c r="AF14" i="6"/>
  <c r="AF11" i="6"/>
  <c r="AF8" i="6"/>
  <c r="AF15" i="6"/>
  <c r="AF25" i="6"/>
  <c r="AF34" i="6"/>
  <c r="AF7" i="6"/>
  <c r="AF29" i="6"/>
  <c r="J30" i="6"/>
  <c r="G65" i="7"/>
  <c r="K65" i="7"/>
  <c r="G74" i="7"/>
  <c r="K74" i="7"/>
  <c r="K81" i="7"/>
  <c r="K69" i="7"/>
  <c r="H69" i="7"/>
  <c r="K68" i="7"/>
  <c r="K64" i="7"/>
  <c r="I69" i="7"/>
  <c r="M61" i="1" s="1"/>
  <c r="I67" i="7"/>
  <c r="M66" i="1" s="1"/>
  <c r="I70" i="7"/>
  <c r="M69" i="1" s="1"/>
  <c r="K70" i="7"/>
  <c r="H67" i="7"/>
  <c r="H70" i="7"/>
  <c r="K67" i="7"/>
  <c r="H68" i="7"/>
  <c r="I68" i="7"/>
  <c r="M71" i="1" s="1"/>
  <c r="K72" i="7"/>
  <c r="K76" i="7"/>
  <c r="G78" i="7"/>
  <c r="K78" i="7"/>
  <c r="K85" i="7"/>
  <c r="I90" i="7"/>
  <c r="I89" i="7"/>
  <c r="M81" i="1" s="1"/>
  <c r="K90" i="7"/>
  <c r="H89" i="7"/>
  <c r="K87" i="7"/>
  <c r="I88" i="7"/>
  <c r="M82" i="1" s="1"/>
  <c r="H90" i="7"/>
  <c r="H87" i="7"/>
  <c r="I87" i="7"/>
  <c r="M79" i="1" s="1"/>
  <c r="K89" i="7"/>
  <c r="H88" i="7"/>
  <c r="K88" i="7"/>
  <c r="K93" i="7"/>
  <c r="K96" i="7"/>
  <c r="G98" i="7"/>
  <c r="K98" i="7"/>
  <c r="K79" i="7"/>
  <c r="K66" i="7"/>
  <c r="K73" i="7"/>
  <c r="K75" i="7"/>
  <c r="K77" i="7"/>
  <c r="K80" i="7"/>
  <c r="K91" i="7"/>
  <c r="K94" i="7"/>
  <c r="K95" i="7"/>
  <c r="K97" i="7"/>
  <c r="K33" i="7"/>
  <c r="G37" i="7"/>
  <c r="M35" i="1"/>
  <c r="M53" i="1"/>
  <c r="M51" i="1"/>
  <c r="G13" i="6"/>
  <c r="K32" i="6"/>
  <c r="K29" i="6"/>
  <c r="K26" i="6"/>
  <c r="K23" i="6"/>
  <c r="K20" i="6"/>
  <c r="K16" i="6"/>
  <c r="K13" i="6"/>
  <c r="K10" i="6"/>
  <c r="K7" i="6"/>
  <c r="H8" i="6"/>
  <c r="K30" i="6"/>
  <c r="K24" i="6"/>
  <c r="K17" i="6"/>
  <c r="K11" i="6"/>
  <c r="K31" i="6"/>
  <c r="K28" i="6"/>
  <c r="K25" i="6"/>
  <c r="K22" i="6"/>
  <c r="K18" i="6"/>
  <c r="K15" i="6"/>
  <c r="K12" i="6"/>
  <c r="K9" i="6"/>
  <c r="K33" i="6"/>
  <c r="K27" i="6"/>
  <c r="K21" i="6"/>
  <c r="K14" i="6"/>
  <c r="K8" i="6"/>
  <c r="J13" i="6"/>
  <c r="G30" i="6"/>
  <c r="K34" i="6"/>
  <c r="K32" i="7"/>
  <c r="K29" i="7"/>
  <c r="K26" i="7"/>
  <c r="K23" i="7"/>
  <c r="K20" i="7"/>
  <c r="K17" i="7"/>
  <c r="K14" i="7"/>
  <c r="K11" i="7"/>
  <c r="K8" i="7"/>
  <c r="K28" i="7"/>
  <c r="K22" i="7"/>
  <c r="K16" i="7"/>
  <c r="K10" i="7"/>
  <c r="K30" i="7"/>
  <c r="K27" i="7"/>
  <c r="K24" i="7"/>
  <c r="K21" i="7"/>
  <c r="K18" i="7"/>
  <c r="K15" i="7"/>
  <c r="K12" i="7"/>
  <c r="K9" i="7"/>
  <c r="K31" i="7"/>
  <c r="K25" i="7"/>
  <c r="K19" i="7"/>
  <c r="K13" i="7"/>
  <c r="K7" i="7"/>
  <c r="A7" i="9"/>
  <c r="K62" i="6"/>
  <c r="K59" i="6"/>
  <c r="K56" i="6"/>
  <c r="K48" i="6"/>
  <c r="K45" i="6"/>
  <c r="K42" i="6"/>
  <c r="K39" i="6"/>
  <c r="K58" i="6"/>
  <c r="K47" i="6"/>
  <c r="K41" i="6"/>
  <c r="K60" i="6"/>
  <c r="K57" i="6"/>
  <c r="K54" i="6"/>
  <c r="K46" i="6"/>
  <c r="K43" i="6"/>
  <c r="K40" i="6"/>
  <c r="K61" i="6"/>
  <c r="K55" i="6"/>
  <c r="K44" i="6"/>
  <c r="K38" i="6"/>
  <c r="G58" i="7"/>
  <c r="K60" i="7"/>
  <c r="K57" i="7"/>
  <c r="K54" i="7"/>
  <c r="K44" i="7"/>
  <c r="K41" i="7"/>
  <c r="K38" i="7"/>
  <c r="K59" i="7"/>
  <c r="K53" i="7"/>
  <c r="K43" i="7"/>
  <c r="K58" i="7"/>
  <c r="K55" i="7"/>
  <c r="K52" i="7"/>
  <c r="K45" i="7"/>
  <c r="K42" i="7"/>
  <c r="K39" i="7"/>
  <c r="K56" i="7"/>
  <c r="K40" i="7"/>
  <c r="K37" i="7"/>
  <c r="I8" i="7"/>
  <c r="M6" i="1" s="1"/>
  <c r="G18" i="7"/>
  <c r="G30" i="7"/>
  <c r="G38" i="7"/>
  <c r="G29" i="7"/>
  <c r="G33" i="7"/>
  <c r="G27" i="7"/>
  <c r="G28" i="7"/>
  <c r="G32" i="7"/>
  <c r="J76" i="7"/>
  <c r="J91" i="7"/>
  <c r="J89" i="6"/>
  <c r="H91" i="6"/>
  <c r="H66" i="6"/>
  <c r="J82" i="6"/>
  <c r="J83" i="6"/>
  <c r="J60" i="6"/>
  <c r="G54" i="6"/>
  <c r="J54" i="6"/>
  <c r="H61" i="6"/>
  <c r="I40" i="6"/>
  <c r="N44" i="1" s="1"/>
  <c r="J42" i="6"/>
  <c r="H14" i="6"/>
  <c r="J15" i="6"/>
  <c r="I9" i="6"/>
  <c r="J12" i="6"/>
  <c r="J16" i="6"/>
  <c r="I8" i="6"/>
  <c r="AJ8" i="6" s="1"/>
  <c r="N6" i="1" s="1"/>
  <c r="G17" i="6"/>
  <c r="H18" i="6"/>
  <c r="J20" i="6"/>
  <c r="H41" i="6"/>
  <c r="G41" i="6"/>
  <c r="I84" i="6"/>
  <c r="N59" i="1" s="1"/>
  <c r="H90" i="6"/>
  <c r="J96" i="6"/>
  <c r="I98" i="6"/>
  <c r="J21" i="7"/>
  <c r="G64" i="7"/>
  <c r="G85" i="7"/>
  <c r="J21" i="6"/>
  <c r="I46" i="6"/>
  <c r="N46" i="1" s="1"/>
  <c r="H47" i="6"/>
  <c r="I59" i="6"/>
  <c r="N52" i="1" s="1"/>
  <c r="H60" i="6"/>
  <c r="I76" i="6"/>
  <c r="N72" i="1" s="1"/>
  <c r="H77" i="6"/>
  <c r="H85" i="6"/>
  <c r="H101" i="6"/>
  <c r="J100" i="6"/>
  <c r="G56" i="7"/>
  <c r="J93" i="7"/>
  <c r="I97" i="7"/>
  <c r="J55" i="7"/>
  <c r="J56" i="7"/>
  <c r="J53" i="7"/>
  <c r="G53" i="7"/>
  <c r="G57" i="7"/>
  <c r="J57" i="7"/>
  <c r="J38" i="7"/>
  <c r="G55" i="7"/>
  <c r="G45" i="7"/>
  <c r="J45" i="7"/>
  <c r="I38" i="7"/>
  <c r="M36" i="1" s="1"/>
  <c r="H59" i="7"/>
  <c r="J81" i="7"/>
  <c r="I79" i="7"/>
  <c r="M60" i="1" s="1"/>
  <c r="G76" i="7"/>
  <c r="I65" i="7"/>
  <c r="M58" i="1" s="1"/>
  <c r="G72" i="7"/>
  <c r="J72" i="7"/>
  <c r="J13" i="7"/>
  <c r="G13" i="7"/>
  <c r="J15" i="7"/>
  <c r="I14" i="7"/>
  <c r="M14" i="1" s="1"/>
  <c r="G20" i="7"/>
  <c r="G12" i="7"/>
  <c r="I7" i="7"/>
  <c r="M19" i="1" s="1"/>
  <c r="J10" i="7"/>
  <c r="J9" i="7"/>
  <c r="G11" i="7"/>
  <c r="J11" i="7"/>
  <c r="G8" i="7"/>
  <c r="H7" i="7"/>
  <c r="I33" i="7"/>
  <c r="M24" i="1" s="1"/>
  <c r="H24" i="7"/>
  <c r="H20" i="7"/>
  <c r="H13" i="7"/>
  <c r="I9" i="7"/>
  <c r="I11" i="7"/>
  <c r="M13" i="1" s="1"/>
  <c r="I30" i="7"/>
  <c r="H28" i="7"/>
  <c r="J23" i="7"/>
  <c r="J19" i="7"/>
  <c r="I15" i="7"/>
  <c r="M9" i="1" s="1"/>
  <c r="H11" i="7"/>
  <c r="H10" i="7"/>
  <c r="J8" i="7"/>
  <c r="H16" i="7"/>
  <c r="J16" i="7"/>
  <c r="I16" i="7"/>
  <c r="M15" i="1" s="1"/>
  <c r="G16" i="7"/>
  <c r="I19" i="7"/>
  <c r="M21" i="1" s="1"/>
  <c r="H25" i="7"/>
  <c r="G25" i="7"/>
  <c r="I25" i="7"/>
  <c r="I26" i="7"/>
  <c r="M20" i="1" s="1"/>
  <c r="I32" i="7"/>
  <c r="M25" i="1" s="1"/>
  <c r="G40" i="7"/>
  <c r="H41" i="7"/>
  <c r="I56" i="7"/>
  <c r="M40" i="1" s="1"/>
  <c r="H74" i="7"/>
  <c r="H9" i="7"/>
  <c r="H15" i="7"/>
  <c r="H17" i="7"/>
  <c r="I23" i="7"/>
  <c r="M8" i="1" s="1"/>
  <c r="H30" i="7"/>
  <c r="J40" i="7"/>
  <c r="J44" i="7"/>
  <c r="J54" i="7"/>
  <c r="G66" i="7"/>
  <c r="I73" i="7"/>
  <c r="M68" i="1" s="1"/>
  <c r="H42" i="7"/>
  <c r="I42" i="7"/>
  <c r="G42" i="7"/>
  <c r="G44" i="7"/>
  <c r="H52" i="7"/>
  <c r="G52" i="7"/>
  <c r="I52" i="7"/>
  <c r="M33" i="1" s="1"/>
  <c r="G54" i="7"/>
  <c r="H71" i="7"/>
  <c r="H72" i="7"/>
  <c r="J71" i="7"/>
  <c r="I64" i="7"/>
  <c r="H80" i="7"/>
  <c r="I71" i="7"/>
  <c r="M67" i="1" s="1"/>
  <c r="H64" i="7"/>
  <c r="J73" i="7"/>
  <c r="G71" i="7"/>
  <c r="H66" i="7"/>
  <c r="I72" i="7"/>
  <c r="M64" i="1" s="1"/>
  <c r="I77" i="7"/>
  <c r="H78" i="7"/>
  <c r="H8" i="7"/>
  <c r="G10" i="7"/>
  <c r="J12" i="7"/>
  <c r="H21" i="7"/>
  <c r="G21" i="7"/>
  <c r="I21" i="7"/>
  <c r="M27" i="1" s="1"/>
  <c r="I22" i="7"/>
  <c r="M22" i="1" s="1"/>
  <c r="G24" i="7"/>
  <c r="I27" i="7"/>
  <c r="H31" i="7"/>
  <c r="I31" i="7"/>
  <c r="M18" i="1" s="1"/>
  <c r="G31" i="7"/>
  <c r="I43" i="7"/>
  <c r="M47" i="1" s="1"/>
  <c r="I53" i="7"/>
  <c r="M41" i="1" s="1"/>
  <c r="I75" i="7"/>
  <c r="H76" i="7"/>
  <c r="J96" i="7"/>
  <c r="J14" i="7"/>
  <c r="J22" i="7"/>
  <c r="J26" i="7"/>
  <c r="H39" i="7"/>
  <c r="I41" i="7"/>
  <c r="M49" i="1" s="1"/>
  <c r="I54" i="7"/>
  <c r="M46" i="1" s="1"/>
  <c r="H57" i="7"/>
  <c r="I59" i="7"/>
  <c r="M45" i="1" s="1"/>
  <c r="J92" i="7"/>
  <c r="H93" i="7"/>
  <c r="G93" i="7"/>
  <c r="H95" i="7"/>
  <c r="G95" i="7"/>
  <c r="G96" i="7"/>
  <c r="H98" i="7"/>
  <c r="G7" i="7"/>
  <c r="G14" i="7"/>
  <c r="I17" i="7"/>
  <c r="H18" i="7"/>
  <c r="H19" i="7"/>
  <c r="I20" i="7"/>
  <c r="M17" i="1" s="1"/>
  <c r="G22" i="7"/>
  <c r="H23" i="7"/>
  <c r="I24" i="7"/>
  <c r="M16" i="1" s="1"/>
  <c r="G26" i="7"/>
  <c r="H27" i="7"/>
  <c r="I28" i="7"/>
  <c r="M23" i="1" s="1"/>
  <c r="H37" i="7"/>
  <c r="H38" i="7"/>
  <c r="I39" i="7"/>
  <c r="M44" i="1" s="1"/>
  <c r="H45" i="7"/>
  <c r="M32" i="1"/>
  <c r="H55" i="7"/>
  <c r="H56" i="7"/>
  <c r="I57" i="7"/>
  <c r="M48" i="1" s="1"/>
  <c r="J59" i="7"/>
  <c r="H65" i="7"/>
  <c r="I80" i="7"/>
  <c r="M59" i="1" s="1"/>
  <c r="I78" i="7"/>
  <c r="M63" i="1" s="1"/>
  <c r="I76" i="7"/>
  <c r="M65" i="1" s="1"/>
  <c r="I74" i="7"/>
  <c r="M72" i="1" s="1"/>
  <c r="I66" i="7"/>
  <c r="M62" i="1" s="1"/>
  <c r="J80" i="7"/>
  <c r="H81" i="7"/>
  <c r="G81" i="7"/>
  <c r="H86" i="7"/>
  <c r="I98" i="7"/>
  <c r="I96" i="7"/>
  <c r="I94" i="7"/>
  <c r="I92" i="7"/>
  <c r="M76" i="1" s="1"/>
  <c r="G86" i="7"/>
  <c r="I85" i="7"/>
  <c r="M80" i="1" s="1"/>
  <c r="H91" i="7"/>
  <c r="G91" i="7"/>
  <c r="G92" i="7"/>
  <c r="I93" i="7"/>
  <c r="M77" i="1" s="1"/>
  <c r="H94" i="7"/>
  <c r="I95" i="7"/>
  <c r="H96" i="7"/>
  <c r="H97" i="7"/>
  <c r="G97" i="7"/>
  <c r="H12" i="7"/>
  <c r="H29" i="7"/>
  <c r="H40" i="7"/>
  <c r="I44" i="7"/>
  <c r="M38" i="1" s="1"/>
  <c r="H58" i="7"/>
  <c r="I60" i="7"/>
  <c r="M37" i="1" s="1"/>
  <c r="G9" i="7"/>
  <c r="I10" i="7"/>
  <c r="M12" i="1" s="1"/>
  <c r="I12" i="7"/>
  <c r="M10" i="1" s="1"/>
  <c r="I13" i="7"/>
  <c r="M11" i="1" s="1"/>
  <c r="H14" i="7"/>
  <c r="G15" i="7"/>
  <c r="I18" i="7"/>
  <c r="M28" i="1" s="1"/>
  <c r="G19" i="7"/>
  <c r="J20" i="7"/>
  <c r="H22" i="7"/>
  <c r="G23" i="7"/>
  <c r="J24" i="7"/>
  <c r="H26" i="7"/>
  <c r="I29" i="7"/>
  <c r="M26" i="1" s="1"/>
  <c r="H32" i="7"/>
  <c r="H33" i="7"/>
  <c r="I37" i="7"/>
  <c r="M42" i="1" s="1"/>
  <c r="I40" i="7"/>
  <c r="M34" i="1" s="1"/>
  <c r="H43" i="7"/>
  <c r="H44" i="7"/>
  <c r="I45" i="7"/>
  <c r="M43" i="1" s="1"/>
  <c r="H53" i="7"/>
  <c r="H54" i="7"/>
  <c r="I55" i="7"/>
  <c r="M39" i="1" s="1"/>
  <c r="I58" i="7"/>
  <c r="M52" i="1" s="1"/>
  <c r="G59" i="7"/>
  <c r="H60" i="7"/>
  <c r="J66" i="7"/>
  <c r="H73" i="7"/>
  <c r="G73" i="7"/>
  <c r="H75" i="7"/>
  <c r="G75" i="7"/>
  <c r="H77" i="7"/>
  <c r="G77" i="7"/>
  <c r="H79" i="7"/>
  <c r="G79" i="7"/>
  <c r="G80" i="7"/>
  <c r="I81" i="7"/>
  <c r="M70" i="1" s="1"/>
  <c r="H85" i="7"/>
  <c r="I86" i="7"/>
  <c r="I91" i="7"/>
  <c r="M78" i="1" s="1"/>
  <c r="H92" i="7"/>
  <c r="H12" i="6"/>
  <c r="G12" i="6"/>
  <c r="I12" i="6"/>
  <c r="AJ12" i="6" s="1"/>
  <c r="N10" i="1" s="1"/>
  <c r="H7" i="6"/>
  <c r="H31" i="6"/>
  <c r="H30" i="6"/>
  <c r="I29" i="6"/>
  <c r="J27" i="6"/>
  <c r="J14" i="6"/>
  <c r="I15" i="6"/>
  <c r="AJ15" i="6" s="1"/>
  <c r="N9" i="1" s="1"/>
  <c r="G24" i="6"/>
  <c r="G25" i="6"/>
  <c r="I25" i="6"/>
  <c r="H25" i="6"/>
  <c r="J25" i="6"/>
  <c r="I10" i="6"/>
  <c r="I17" i="6"/>
  <c r="H21" i="6"/>
  <c r="H23" i="6"/>
  <c r="G8" i="6"/>
  <c r="I11" i="6"/>
  <c r="AJ11" i="6" s="1"/>
  <c r="N13" i="1" s="1"/>
  <c r="I26" i="6"/>
  <c r="I7" i="6"/>
  <c r="G10" i="6"/>
  <c r="I13" i="6"/>
  <c r="AJ13" i="6" s="1"/>
  <c r="N11" i="1" s="1"/>
  <c r="H16" i="6"/>
  <c r="G16" i="6"/>
  <c r="I16" i="6"/>
  <c r="AJ16" i="6" s="1"/>
  <c r="N15" i="1" s="1"/>
  <c r="H20" i="6"/>
  <c r="G20" i="6"/>
  <c r="I20" i="6"/>
  <c r="H22" i="6"/>
  <c r="G22" i="6"/>
  <c r="I22" i="6"/>
  <c r="G33" i="6"/>
  <c r="H42" i="6"/>
  <c r="I45" i="6"/>
  <c r="N38" i="1" s="1"/>
  <c r="J47" i="6"/>
  <c r="I48" i="6"/>
  <c r="N48" i="1" s="1"/>
  <c r="H54" i="6"/>
  <c r="H55" i="6"/>
  <c r="G56" i="6"/>
  <c r="G57" i="6"/>
  <c r="I58" i="6"/>
  <c r="N40" i="1" s="1"/>
  <c r="I61" i="6"/>
  <c r="N45" i="1" s="1"/>
  <c r="H62" i="6"/>
  <c r="G68" i="6"/>
  <c r="I69" i="6"/>
  <c r="N67" i="1" s="1"/>
  <c r="J77" i="6"/>
  <c r="I78" i="6"/>
  <c r="H79" i="6"/>
  <c r="H80" i="6"/>
  <c r="G82" i="6"/>
  <c r="J84" i="6"/>
  <c r="J8" i="6"/>
  <c r="H9" i="6"/>
  <c r="J10" i="6"/>
  <c r="H11" i="6"/>
  <c r="G14" i="6"/>
  <c r="H15" i="6"/>
  <c r="G21" i="6"/>
  <c r="G23" i="6"/>
  <c r="I24" i="6"/>
  <c r="AJ24" i="6" s="1"/>
  <c r="N8" i="1" s="1"/>
  <c r="I27" i="6"/>
  <c r="H28" i="6"/>
  <c r="H29" i="6"/>
  <c r="G31" i="6"/>
  <c r="I32" i="6"/>
  <c r="I38" i="6"/>
  <c r="N42" i="1" s="1"/>
  <c r="H39" i="6"/>
  <c r="H40" i="6"/>
  <c r="G42" i="6"/>
  <c r="I43" i="6"/>
  <c r="J45" i="6"/>
  <c r="H48" i="6"/>
  <c r="G55" i="6"/>
  <c r="I56" i="6"/>
  <c r="N50" i="1" s="1"/>
  <c r="G66" i="6"/>
  <c r="I67" i="6"/>
  <c r="N58" i="1" s="1"/>
  <c r="J68" i="6"/>
  <c r="J69" i="6"/>
  <c r="H78" i="6"/>
  <c r="G80" i="6"/>
  <c r="I81" i="6"/>
  <c r="H89" i="6"/>
  <c r="G91" i="6"/>
  <c r="I95" i="6"/>
  <c r="N78" i="1" s="1"/>
  <c r="H99" i="6"/>
  <c r="H100" i="6"/>
  <c r="G102" i="6"/>
  <c r="I34" i="6"/>
  <c r="G44" i="6"/>
  <c r="I83" i="6"/>
  <c r="N60" i="1" s="1"/>
  <c r="I97" i="6"/>
  <c r="N77" i="1" s="1"/>
  <c r="I100" i="6"/>
  <c r="H102" i="6"/>
  <c r="I99" i="6"/>
  <c r="I102" i="6"/>
  <c r="G96" i="6"/>
  <c r="J9" i="6"/>
  <c r="H10" i="6"/>
  <c r="J11" i="6"/>
  <c r="H13" i="6"/>
  <c r="I14" i="6"/>
  <c r="H17" i="6"/>
  <c r="I18" i="6"/>
  <c r="I21" i="6"/>
  <c r="AJ21" i="6" s="1"/>
  <c r="N17" i="1" s="1"/>
  <c r="I23" i="6"/>
  <c r="AJ23" i="6" s="1"/>
  <c r="N22" i="1" s="1"/>
  <c r="H24" i="6"/>
  <c r="G26" i="6"/>
  <c r="G27" i="6"/>
  <c r="I28" i="6"/>
  <c r="AJ28" i="6" s="1"/>
  <c r="I31" i="6"/>
  <c r="H32" i="6"/>
  <c r="H33" i="6"/>
  <c r="G34" i="6"/>
  <c r="G38" i="6"/>
  <c r="I39" i="6"/>
  <c r="N36" i="1" s="1"/>
  <c r="J41" i="6"/>
  <c r="I42" i="6"/>
  <c r="N49" i="1" s="1"/>
  <c r="H43" i="6"/>
  <c r="H44" i="6"/>
  <c r="G45" i="6"/>
  <c r="G46" i="6"/>
  <c r="I47" i="6"/>
  <c r="N35" i="1" s="1"/>
  <c r="J48" i="6"/>
  <c r="I55" i="6"/>
  <c r="N41" i="1" s="1"/>
  <c r="H56" i="6"/>
  <c r="H57" i="6"/>
  <c r="G58" i="6"/>
  <c r="G59" i="6"/>
  <c r="I60" i="6"/>
  <c r="N32" i="1" s="1"/>
  <c r="J61" i="6"/>
  <c r="I66" i="6"/>
  <c r="H67" i="6"/>
  <c r="H68" i="6"/>
  <c r="G69" i="6"/>
  <c r="G76" i="6"/>
  <c r="I77" i="6"/>
  <c r="N68" i="1" s="1"/>
  <c r="I80" i="6"/>
  <c r="H81" i="6"/>
  <c r="H82" i="6"/>
  <c r="G83" i="6"/>
  <c r="G84" i="6"/>
  <c r="I85" i="6"/>
  <c r="N70" i="1" s="1"/>
  <c r="I91" i="6"/>
  <c r="H95" i="6"/>
  <c r="H96" i="6"/>
  <c r="G98" i="6"/>
  <c r="G7" i="6"/>
  <c r="G9" i="6"/>
  <c r="G11" i="6"/>
  <c r="G15" i="6"/>
  <c r="J23" i="6"/>
  <c r="J24" i="6"/>
  <c r="H26" i="6"/>
  <c r="H27" i="6"/>
  <c r="G28" i="6"/>
  <c r="G29" i="6"/>
  <c r="I30" i="6"/>
  <c r="AJ30" i="6" s="1"/>
  <c r="N26" i="1" s="1"/>
  <c r="I33" i="6"/>
  <c r="H34" i="6"/>
  <c r="H38" i="6"/>
  <c r="G39" i="6"/>
  <c r="G40" i="6"/>
  <c r="I41" i="6"/>
  <c r="N34" i="1" s="1"/>
  <c r="I44" i="6"/>
  <c r="N47" i="1" s="1"/>
  <c r="H45" i="6"/>
  <c r="H46" i="6"/>
  <c r="G47" i="6"/>
  <c r="G48" i="6"/>
  <c r="I54" i="6"/>
  <c r="N33" i="1" s="1"/>
  <c r="J56" i="6"/>
  <c r="I57" i="6"/>
  <c r="N39" i="1" s="1"/>
  <c r="H58" i="6"/>
  <c r="H59" i="6"/>
  <c r="G60" i="6"/>
  <c r="G61" i="6"/>
  <c r="I62" i="6"/>
  <c r="N37" i="1" s="1"/>
  <c r="I68" i="6"/>
  <c r="N62" i="1" s="1"/>
  <c r="H69" i="6"/>
  <c r="H76" i="6"/>
  <c r="G77" i="6"/>
  <c r="G78" i="6"/>
  <c r="I79" i="6"/>
  <c r="I82" i="6"/>
  <c r="N63" i="1" s="1"/>
  <c r="H83" i="6"/>
  <c r="H84" i="6"/>
  <c r="G85" i="6"/>
  <c r="G89" i="6"/>
  <c r="I90" i="6"/>
  <c r="I96" i="6"/>
  <c r="N76" i="1" s="1"/>
  <c r="H97" i="6"/>
  <c r="H98" i="6"/>
  <c r="G100" i="6"/>
  <c r="I101" i="6"/>
  <c r="J102" i="5"/>
  <c r="F102" i="5"/>
  <c r="J101" i="5"/>
  <c r="F101" i="5"/>
  <c r="F100" i="5"/>
  <c r="J99" i="5"/>
  <c r="F99" i="5"/>
  <c r="J98" i="5"/>
  <c r="F98" i="5"/>
  <c r="J97" i="5"/>
  <c r="F97" i="5"/>
  <c r="F96" i="5"/>
  <c r="J95" i="5"/>
  <c r="F95" i="5"/>
  <c r="J91" i="5"/>
  <c r="F91" i="5"/>
  <c r="J90" i="5"/>
  <c r="F90" i="5"/>
  <c r="J89" i="5"/>
  <c r="F89" i="5"/>
  <c r="J85" i="5"/>
  <c r="F85" i="5"/>
  <c r="F84" i="5"/>
  <c r="J83" i="5"/>
  <c r="F83" i="5"/>
  <c r="J82" i="5"/>
  <c r="F82" i="5"/>
  <c r="J81" i="5"/>
  <c r="F81" i="5"/>
  <c r="J80" i="5"/>
  <c r="F80" i="5"/>
  <c r="J79" i="5"/>
  <c r="F79" i="5"/>
  <c r="J78" i="5"/>
  <c r="F78" i="5"/>
  <c r="F77" i="5"/>
  <c r="F69" i="5"/>
  <c r="F68" i="5"/>
  <c r="F67" i="5"/>
  <c r="J66" i="5"/>
  <c r="F66" i="5"/>
  <c r="J62" i="5"/>
  <c r="F62" i="5"/>
  <c r="F61" i="5"/>
  <c r="J60" i="5"/>
  <c r="F60" i="5"/>
  <c r="J59" i="5"/>
  <c r="F59" i="5"/>
  <c r="G59" i="5" s="1"/>
  <c r="J58" i="5"/>
  <c r="F58" i="5"/>
  <c r="G58" i="5" s="1"/>
  <c r="F57" i="5"/>
  <c r="F56" i="5"/>
  <c r="J55" i="5"/>
  <c r="F55" i="5"/>
  <c r="G55" i="5" s="1"/>
  <c r="F54" i="5"/>
  <c r="F48" i="5"/>
  <c r="F47" i="5"/>
  <c r="J46" i="5"/>
  <c r="F46" i="5"/>
  <c r="G46" i="5" s="1"/>
  <c r="F45" i="5"/>
  <c r="J44" i="5"/>
  <c r="F44" i="5"/>
  <c r="G44" i="5" s="1"/>
  <c r="J43" i="5"/>
  <c r="F43" i="5"/>
  <c r="G43" i="5" s="1"/>
  <c r="J42" i="5"/>
  <c r="F42" i="5"/>
  <c r="G42" i="5" s="1"/>
  <c r="F41" i="5"/>
  <c r="J40" i="5"/>
  <c r="F40" i="5"/>
  <c r="G40" i="5" s="1"/>
  <c r="F39" i="5"/>
  <c r="G39" i="5" s="1"/>
  <c r="J38" i="5"/>
  <c r="F38" i="5"/>
  <c r="J34" i="5"/>
  <c r="F34" i="5"/>
  <c r="J33" i="5"/>
  <c r="F33" i="5"/>
  <c r="G33" i="5" s="1"/>
  <c r="J32" i="5"/>
  <c r="F32" i="5"/>
  <c r="J31" i="5"/>
  <c r="F31" i="5"/>
  <c r="J30" i="5"/>
  <c r="F30" i="5"/>
  <c r="J29" i="5"/>
  <c r="F29" i="5"/>
  <c r="J28" i="5"/>
  <c r="F28" i="5"/>
  <c r="F27" i="5"/>
  <c r="J26" i="5"/>
  <c r="F26" i="5"/>
  <c r="F25" i="5"/>
  <c r="F24" i="5"/>
  <c r="F23" i="5"/>
  <c r="J22" i="5"/>
  <c r="F22" i="5"/>
  <c r="F21" i="5"/>
  <c r="F20" i="5"/>
  <c r="J19" i="5"/>
  <c r="F19" i="5"/>
  <c r="S17" i="5"/>
  <c r="F17" i="5"/>
  <c r="S16" i="5"/>
  <c r="F16" i="5"/>
  <c r="S15" i="5"/>
  <c r="J15" i="5"/>
  <c r="F15" i="5"/>
  <c r="S14" i="5"/>
  <c r="F14" i="5"/>
  <c r="S13" i="5"/>
  <c r="F13" i="5"/>
  <c r="S12" i="5"/>
  <c r="F12" i="5"/>
  <c r="S11" i="5"/>
  <c r="F11" i="5"/>
  <c r="F10" i="5"/>
  <c r="F9" i="5"/>
  <c r="F8" i="5"/>
  <c r="J7" i="5"/>
  <c r="F7" i="5"/>
  <c r="F2" i="5"/>
  <c r="J103" i="4"/>
  <c r="F103" i="4"/>
  <c r="J102" i="4"/>
  <c r="F102" i="4"/>
  <c r="J101" i="4"/>
  <c r="F101" i="4"/>
  <c r="J100" i="4"/>
  <c r="F100" i="4"/>
  <c r="J99" i="4"/>
  <c r="F99" i="4"/>
  <c r="J98" i="4"/>
  <c r="F98" i="4"/>
  <c r="J97" i="4"/>
  <c r="F97" i="4"/>
  <c r="J96" i="4"/>
  <c r="F96" i="4"/>
  <c r="J95" i="4"/>
  <c r="F95" i="4"/>
  <c r="J91" i="4"/>
  <c r="F91" i="4"/>
  <c r="J90" i="4"/>
  <c r="F90" i="4"/>
  <c r="J86" i="4"/>
  <c r="F86" i="4"/>
  <c r="J85" i="4"/>
  <c r="F85" i="4"/>
  <c r="J84" i="4"/>
  <c r="F84" i="4"/>
  <c r="J83" i="4"/>
  <c r="F83" i="4"/>
  <c r="J82" i="4"/>
  <c r="F82" i="4"/>
  <c r="J81" i="4"/>
  <c r="F81" i="4"/>
  <c r="J80" i="4"/>
  <c r="F80" i="4"/>
  <c r="J79" i="4"/>
  <c r="F79" i="4"/>
  <c r="J78" i="4"/>
  <c r="F78" i="4"/>
  <c r="J77" i="4"/>
  <c r="F77" i="4"/>
  <c r="J76" i="4"/>
  <c r="F76" i="4"/>
  <c r="J68" i="4"/>
  <c r="F68" i="4"/>
  <c r="F67" i="4"/>
  <c r="J66" i="4"/>
  <c r="F66" i="4"/>
  <c r="J62" i="4"/>
  <c r="F62" i="4"/>
  <c r="J61" i="4"/>
  <c r="F61" i="4"/>
  <c r="J60" i="4"/>
  <c r="F60" i="4"/>
  <c r="J59" i="4"/>
  <c r="F59" i="4"/>
  <c r="G59" i="4" s="1"/>
  <c r="J58" i="4"/>
  <c r="F58" i="4"/>
  <c r="G58" i="4" s="1"/>
  <c r="F57" i="4"/>
  <c r="J56" i="4"/>
  <c r="F56" i="4"/>
  <c r="G56" i="4" s="1"/>
  <c r="J55" i="4"/>
  <c r="F55" i="4"/>
  <c r="G55" i="4" s="1"/>
  <c r="F54" i="4"/>
  <c r="F53" i="4"/>
  <c r="J47" i="4"/>
  <c r="F47" i="4"/>
  <c r="J46" i="4"/>
  <c r="F46" i="4"/>
  <c r="G46" i="4" s="1"/>
  <c r="J45" i="4"/>
  <c r="F45" i="4"/>
  <c r="G45" i="4" s="1"/>
  <c r="J44" i="4"/>
  <c r="F44" i="4"/>
  <c r="G44" i="4" s="1"/>
  <c r="J43" i="4"/>
  <c r="F43" i="4"/>
  <c r="G43" i="4" s="1"/>
  <c r="J42" i="4"/>
  <c r="F42" i="4"/>
  <c r="G42" i="4" s="1"/>
  <c r="J41" i="4"/>
  <c r="F41" i="4"/>
  <c r="G41" i="4" s="1"/>
  <c r="J40" i="4"/>
  <c r="F40" i="4"/>
  <c r="G40" i="4" s="1"/>
  <c r="F39" i="4"/>
  <c r="J38" i="4"/>
  <c r="F38" i="4"/>
  <c r="J34" i="4"/>
  <c r="F34" i="4"/>
  <c r="J33" i="4"/>
  <c r="F33" i="4"/>
  <c r="J32" i="4"/>
  <c r="F32" i="4"/>
  <c r="G32" i="4" s="1"/>
  <c r="J31" i="4"/>
  <c r="F31" i="4"/>
  <c r="G31" i="4" s="1"/>
  <c r="J30" i="4"/>
  <c r="F30" i="4"/>
  <c r="G30" i="4" s="1"/>
  <c r="J29" i="4"/>
  <c r="F29" i="4"/>
  <c r="G29" i="4" s="1"/>
  <c r="J28" i="4"/>
  <c r="F28" i="4"/>
  <c r="G28" i="4" s="1"/>
  <c r="J27" i="4"/>
  <c r="F27" i="4"/>
  <c r="G27" i="4" s="1"/>
  <c r="J26" i="4"/>
  <c r="F26" i="4"/>
  <c r="G26" i="4" s="1"/>
  <c r="F25" i="4"/>
  <c r="J24" i="4"/>
  <c r="F24" i="4"/>
  <c r="G24" i="4" s="1"/>
  <c r="J23" i="4"/>
  <c r="F23" i="4"/>
  <c r="G23" i="4" s="1"/>
  <c r="J22" i="4"/>
  <c r="F22" i="4"/>
  <c r="G22" i="4" s="1"/>
  <c r="F21" i="4"/>
  <c r="F20" i="4"/>
  <c r="J18" i="4"/>
  <c r="F18" i="4"/>
  <c r="G18" i="4" s="1"/>
  <c r="S17" i="4"/>
  <c r="F17" i="4"/>
  <c r="S16" i="4"/>
  <c r="F16" i="4"/>
  <c r="S15" i="4"/>
  <c r="F15" i="4"/>
  <c r="S14" i="4"/>
  <c r="F14" i="4"/>
  <c r="S13" i="4"/>
  <c r="F13" i="4"/>
  <c r="S12" i="4"/>
  <c r="F12" i="4"/>
  <c r="S11" i="4"/>
  <c r="F11" i="4"/>
  <c r="F10" i="4"/>
  <c r="F9" i="4"/>
  <c r="F8" i="4"/>
  <c r="J7" i="4"/>
  <c r="F7" i="4"/>
  <c r="F2" i="4"/>
  <c r="H19" i="4" l="1"/>
  <c r="I19" i="4"/>
  <c r="P27" i="1" s="1"/>
  <c r="K19" i="4"/>
  <c r="I18" i="5"/>
  <c r="O27" i="1" s="1"/>
  <c r="H18" i="5"/>
  <c r="K18" i="5"/>
  <c r="F54" i="1"/>
  <c r="K68" i="4"/>
  <c r="K81" i="4"/>
  <c r="K96" i="4"/>
  <c r="K77" i="4"/>
  <c r="K80" i="4"/>
  <c r="K83" i="4"/>
  <c r="K86" i="4"/>
  <c r="K95" i="4"/>
  <c r="K98" i="4"/>
  <c r="K101" i="4"/>
  <c r="K50" i="4"/>
  <c r="H51" i="4"/>
  <c r="K51" i="4"/>
  <c r="I50" i="4"/>
  <c r="P51" i="1" s="1"/>
  <c r="I51" i="4"/>
  <c r="P53" i="1" s="1"/>
  <c r="H52" i="4"/>
  <c r="I52" i="4"/>
  <c r="P43" i="1" s="1"/>
  <c r="H50" i="4"/>
  <c r="K52" i="4"/>
  <c r="H66" i="4"/>
  <c r="H71" i="4"/>
  <c r="H74" i="4"/>
  <c r="I75" i="4"/>
  <c r="P67" i="1" s="1"/>
  <c r="K66" i="4"/>
  <c r="H69" i="4"/>
  <c r="K71" i="4"/>
  <c r="K74" i="4"/>
  <c r="H72" i="4"/>
  <c r="H75" i="4"/>
  <c r="K75" i="4"/>
  <c r="H73" i="4"/>
  <c r="K72" i="4"/>
  <c r="K69" i="4"/>
  <c r="K70" i="4"/>
  <c r="I70" i="4"/>
  <c r="P71" i="1" s="1"/>
  <c r="I72" i="4"/>
  <c r="P69" i="1" s="1"/>
  <c r="I74" i="4"/>
  <c r="P65" i="1" s="1"/>
  <c r="I71" i="4"/>
  <c r="P61" i="1" s="1"/>
  <c r="I69" i="4"/>
  <c r="P66" i="1" s="1"/>
  <c r="I73" i="4"/>
  <c r="P64" i="1" s="1"/>
  <c r="H70" i="4"/>
  <c r="K73" i="4"/>
  <c r="K78" i="4"/>
  <c r="K84" i="4"/>
  <c r="H90" i="4"/>
  <c r="I94" i="4"/>
  <c r="P81" i="1" s="1"/>
  <c r="K93" i="4"/>
  <c r="K94" i="4"/>
  <c r="K90" i="4"/>
  <c r="H94" i="4"/>
  <c r="K92" i="4"/>
  <c r="I92" i="4"/>
  <c r="P79" i="1" s="1"/>
  <c r="I93" i="4"/>
  <c r="P82" i="1" s="1"/>
  <c r="H92" i="4"/>
  <c r="H93" i="4"/>
  <c r="K99" i="4"/>
  <c r="K102" i="4"/>
  <c r="K67" i="4"/>
  <c r="K76" i="4"/>
  <c r="K79" i="4"/>
  <c r="K82" i="4"/>
  <c r="K85" i="4"/>
  <c r="K91" i="4"/>
  <c r="K97" i="4"/>
  <c r="K100" i="4"/>
  <c r="K103" i="4"/>
  <c r="I94" i="5"/>
  <c r="O81" i="1" s="1"/>
  <c r="I93" i="5"/>
  <c r="O82" i="1" s="1"/>
  <c r="H94" i="5"/>
  <c r="K92" i="5"/>
  <c r="K93" i="5"/>
  <c r="K94" i="5"/>
  <c r="H93" i="5"/>
  <c r="I92" i="5"/>
  <c r="O79" i="1" s="1"/>
  <c r="H92" i="5"/>
  <c r="K10" i="5"/>
  <c r="K90" i="5"/>
  <c r="K69" i="5"/>
  <c r="H70" i="5"/>
  <c r="K72" i="5"/>
  <c r="H73" i="5"/>
  <c r="K75" i="5"/>
  <c r="H76" i="5"/>
  <c r="K76" i="5"/>
  <c r="K71" i="5"/>
  <c r="H72" i="5"/>
  <c r="K74" i="5"/>
  <c r="H75" i="5"/>
  <c r="I76" i="5"/>
  <c r="O72" i="1" s="1"/>
  <c r="K70" i="5"/>
  <c r="H71" i="5"/>
  <c r="K73" i="5"/>
  <c r="H74" i="5"/>
  <c r="I74" i="5"/>
  <c r="O64" i="1" s="1"/>
  <c r="I72" i="5"/>
  <c r="O61" i="1" s="1"/>
  <c r="I71" i="5"/>
  <c r="O71" i="1" s="1"/>
  <c r="I73" i="5"/>
  <c r="O69" i="1" s="1"/>
  <c r="I75" i="5"/>
  <c r="O65" i="1" s="1"/>
  <c r="I70" i="5"/>
  <c r="O66" i="1" s="1"/>
  <c r="K31" i="4"/>
  <c r="K28" i="4"/>
  <c r="K25" i="4"/>
  <c r="K22" i="4"/>
  <c r="K18" i="4"/>
  <c r="K12" i="4"/>
  <c r="K30" i="4"/>
  <c r="K24" i="4"/>
  <c r="K17" i="4"/>
  <c r="K11" i="4"/>
  <c r="K32" i="4"/>
  <c r="K29" i="4"/>
  <c r="K26" i="4"/>
  <c r="K23" i="4"/>
  <c r="K20" i="4"/>
  <c r="K16" i="4"/>
  <c r="K13" i="4"/>
  <c r="K10" i="4"/>
  <c r="K7" i="4"/>
  <c r="K15" i="4"/>
  <c r="K9" i="4"/>
  <c r="K33" i="4"/>
  <c r="K27" i="4"/>
  <c r="K21" i="4"/>
  <c r="K14" i="4"/>
  <c r="K8" i="4"/>
  <c r="G34" i="4"/>
  <c r="K34" i="4"/>
  <c r="G33" i="4"/>
  <c r="K12" i="5"/>
  <c r="K15" i="5"/>
  <c r="K16" i="5"/>
  <c r="G22" i="5"/>
  <c r="K22" i="5"/>
  <c r="K24" i="5"/>
  <c r="K31" i="5"/>
  <c r="G32" i="5"/>
  <c r="K32" i="5"/>
  <c r="K77" i="5"/>
  <c r="K79" i="5"/>
  <c r="K82" i="5"/>
  <c r="K96" i="5"/>
  <c r="K98" i="5"/>
  <c r="K8" i="5"/>
  <c r="K11" i="5"/>
  <c r="K14" i="5"/>
  <c r="K19" i="5"/>
  <c r="K20" i="5"/>
  <c r="K25" i="5"/>
  <c r="K27" i="5"/>
  <c r="K29" i="5"/>
  <c r="G30" i="5"/>
  <c r="K30" i="5"/>
  <c r="G31" i="5"/>
  <c r="H53" i="5"/>
  <c r="I51" i="5"/>
  <c r="O51" i="1" s="1"/>
  <c r="K51" i="5"/>
  <c r="K53" i="5"/>
  <c r="K52" i="5"/>
  <c r="H51" i="5"/>
  <c r="I53" i="5"/>
  <c r="I52" i="5"/>
  <c r="O53" i="1" s="1"/>
  <c r="H52" i="5"/>
  <c r="K66" i="5"/>
  <c r="J84" i="5"/>
  <c r="K67" i="5"/>
  <c r="K78" i="5"/>
  <c r="K81" i="5"/>
  <c r="K84" i="5"/>
  <c r="K89" i="5"/>
  <c r="K95" i="5"/>
  <c r="K97" i="5"/>
  <c r="K100" i="5"/>
  <c r="K102" i="5"/>
  <c r="K7" i="5"/>
  <c r="K9" i="5"/>
  <c r="K13" i="5"/>
  <c r="K17" i="5"/>
  <c r="G19" i="5"/>
  <c r="K21" i="5"/>
  <c r="K23" i="5"/>
  <c r="G26" i="5"/>
  <c r="K26" i="5"/>
  <c r="G28" i="5"/>
  <c r="K28" i="5"/>
  <c r="G29" i="5"/>
  <c r="K33" i="5"/>
  <c r="G34" i="5"/>
  <c r="K34" i="5"/>
  <c r="G38" i="5"/>
  <c r="H66" i="5"/>
  <c r="K68" i="5"/>
  <c r="K80" i="5"/>
  <c r="K83" i="5"/>
  <c r="K85" i="5"/>
  <c r="K91" i="5"/>
  <c r="K99" i="5"/>
  <c r="K101" i="5"/>
  <c r="I61" i="5"/>
  <c r="O45" i="1" s="1"/>
  <c r="I58" i="5"/>
  <c r="O48" i="1" s="1"/>
  <c r="I55" i="5"/>
  <c r="O41" i="1" s="1"/>
  <c r="I47" i="5"/>
  <c r="O35" i="1" s="1"/>
  <c r="I44" i="5"/>
  <c r="O47" i="1" s="1"/>
  <c r="I41" i="5"/>
  <c r="O34" i="1" s="1"/>
  <c r="I38" i="5"/>
  <c r="O42" i="1" s="1"/>
  <c r="I62" i="5"/>
  <c r="O37" i="1" s="1"/>
  <c r="I59" i="5"/>
  <c r="O52" i="1" s="1"/>
  <c r="I56" i="5"/>
  <c r="O40" i="1" s="1"/>
  <c r="I48" i="5"/>
  <c r="O32" i="1" s="1"/>
  <c r="I45" i="5"/>
  <c r="O38" i="1" s="1"/>
  <c r="I42" i="5"/>
  <c r="O49" i="1" s="1"/>
  <c r="I39" i="5"/>
  <c r="O36" i="1" s="1"/>
  <c r="I60" i="5"/>
  <c r="I57" i="5"/>
  <c r="O39" i="1" s="1"/>
  <c r="I54" i="5"/>
  <c r="O33" i="1" s="1"/>
  <c r="I46" i="5"/>
  <c r="O46" i="1" s="1"/>
  <c r="I43" i="5"/>
  <c r="I40" i="5"/>
  <c r="O44" i="1" s="1"/>
  <c r="K60" i="5"/>
  <c r="K57" i="5"/>
  <c r="K54" i="5"/>
  <c r="K46" i="5"/>
  <c r="K43" i="5"/>
  <c r="K40" i="5"/>
  <c r="K62" i="5"/>
  <c r="K59" i="5"/>
  <c r="K56" i="5"/>
  <c r="K48" i="5"/>
  <c r="K45" i="5"/>
  <c r="K42" i="5"/>
  <c r="K39" i="5"/>
  <c r="K61" i="5"/>
  <c r="K58" i="5"/>
  <c r="K55" i="5"/>
  <c r="K47" i="5"/>
  <c r="K44" i="5"/>
  <c r="K38" i="5"/>
  <c r="K41" i="5"/>
  <c r="G47" i="4"/>
  <c r="K62" i="4"/>
  <c r="K59" i="4"/>
  <c r="K56" i="4"/>
  <c r="K53" i="4"/>
  <c r="K45" i="4"/>
  <c r="K42" i="4"/>
  <c r="K39" i="4"/>
  <c r="K61" i="4"/>
  <c r="K58" i="4"/>
  <c r="K55" i="4"/>
  <c r="K47" i="4"/>
  <c r="K44" i="4"/>
  <c r="K41" i="4"/>
  <c r="K38" i="4"/>
  <c r="K60" i="4"/>
  <c r="K57" i="4"/>
  <c r="K54" i="4"/>
  <c r="K46" i="4"/>
  <c r="K43" i="4"/>
  <c r="K40" i="4"/>
  <c r="G24" i="5"/>
  <c r="J11" i="5"/>
  <c r="G41" i="5"/>
  <c r="G45" i="5"/>
  <c r="J68" i="5"/>
  <c r="J69" i="5"/>
  <c r="J77" i="5"/>
  <c r="H89" i="5"/>
  <c r="J100" i="5"/>
  <c r="J96" i="5"/>
  <c r="J45" i="5"/>
  <c r="J41" i="5"/>
  <c r="G56" i="5"/>
  <c r="J56" i="5"/>
  <c r="J61" i="5"/>
  <c r="H38" i="5"/>
  <c r="H41" i="5"/>
  <c r="H43" i="5"/>
  <c r="H45" i="5"/>
  <c r="H47" i="5"/>
  <c r="J47" i="5"/>
  <c r="H40" i="5"/>
  <c r="H42" i="5"/>
  <c r="H44" i="5"/>
  <c r="H46" i="5"/>
  <c r="G47" i="5"/>
  <c r="H55" i="5"/>
  <c r="H58" i="5"/>
  <c r="G48" i="5"/>
  <c r="G54" i="5"/>
  <c r="H56" i="5"/>
  <c r="G57" i="5"/>
  <c r="G23" i="5"/>
  <c r="J23" i="5"/>
  <c r="G27" i="5"/>
  <c r="J27" i="5"/>
  <c r="J24" i="5"/>
  <c r="G20" i="5"/>
  <c r="J20" i="5"/>
  <c r="J57" i="5"/>
  <c r="J12" i="5"/>
  <c r="J14" i="5"/>
  <c r="H20" i="5"/>
  <c r="H22" i="5"/>
  <c r="H24" i="5"/>
  <c r="H26" i="5"/>
  <c r="H28" i="5"/>
  <c r="H30" i="5"/>
  <c r="H32" i="5"/>
  <c r="H34" i="5"/>
  <c r="J39" i="5"/>
  <c r="J48" i="5"/>
  <c r="J54" i="5"/>
  <c r="J16" i="5"/>
  <c r="H19" i="5"/>
  <c r="J21" i="5"/>
  <c r="H23" i="5"/>
  <c r="J25" i="5"/>
  <c r="H27" i="5"/>
  <c r="H29" i="5"/>
  <c r="H31" i="5"/>
  <c r="H33" i="5"/>
  <c r="H7" i="5"/>
  <c r="H8" i="5"/>
  <c r="J8" i="5"/>
  <c r="H9" i="5"/>
  <c r="J9" i="5"/>
  <c r="H10" i="5"/>
  <c r="J10" i="5"/>
  <c r="H11" i="5"/>
  <c r="G12" i="5"/>
  <c r="I12" i="5"/>
  <c r="O10" i="1" s="1"/>
  <c r="H13" i="5"/>
  <c r="J13" i="5"/>
  <c r="G14" i="5"/>
  <c r="I14" i="5"/>
  <c r="O14" i="1" s="1"/>
  <c r="H15" i="5"/>
  <c r="G16" i="5"/>
  <c r="I16" i="5"/>
  <c r="O15" i="1" s="1"/>
  <c r="H17" i="5"/>
  <c r="J17" i="5"/>
  <c r="I19" i="5"/>
  <c r="O18" i="1" s="1"/>
  <c r="I20" i="5"/>
  <c r="O21" i="1" s="1"/>
  <c r="G21" i="5"/>
  <c r="I21" i="5"/>
  <c r="O17" i="1" s="1"/>
  <c r="I22" i="5"/>
  <c r="O28" i="1" s="1"/>
  <c r="I23" i="5"/>
  <c r="O22" i="1" s="1"/>
  <c r="I24" i="5"/>
  <c r="O8" i="1" s="1"/>
  <c r="G25" i="5"/>
  <c r="I25" i="5"/>
  <c r="O16" i="1" s="1"/>
  <c r="I26" i="5"/>
  <c r="I27" i="5"/>
  <c r="O20" i="1" s="1"/>
  <c r="I28" i="5"/>
  <c r="I29" i="5"/>
  <c r="O23" i="1" s="1"/>
  <c r="I30" i="5"/>
  <c r="O26" i="1" s="1"/>
  <c r="I31" i="5"/>
  <c r="I32" i="5"/>
  <c r="I33" i="5"/>
  <c r="O25" i="1" s="1"/>
  <c r="I34" i="5"/>
  <c r="O24" i="1" s="1"/>
  <c r="G60" i="5"/>
  <c r="H61" i="5"/>
  <c r="G62" i="5"/>
  <c r="I67" i="5"/>
  <c r="O58" i="1" s="1"/>
  <c r="G67" i="5"/>
  <c r="J67" i="5"/>
  <c r="H68" i="5"/>
  <c r="I69" i="5"/>
  <c r="O67" i="1" s="1"/>
  <c r="G69" i="5"/>
  <c r="I77" i="5"/>
  <c r="O68" i="1" s="1"/>
  <c r="G77" i="5"/>
  <c r="H78" i="5"/>
  <c r="I79" i="5"/>
  <c r="G79" i="5"/>
  <c r="H80" i="5"/>
  <c r="I81" i="5"/>
  <c r="G81" i="5"/>
  <c r="H82" i="5"/>
  <c r="I83" i="5"/>
  <c r="O60" i="1" s="1"/>
  <c r="G83" i="5"/>
  <c r="H84" i="5"/>
  <c r="I85" i="5"/>
  <c r="O70" i="1" s="1"/>
  <c r="G85" i="5"/>
  <c r="I90" i="5"/>
  <c r="G90" i="5"/>
  <c r="H91" i="5"/>
  <c r="I95" i="5"/>
  <c r="O78" i="1" s="1"/>
  <c r="G95" i="5"/>
  <c r="H96" i="5"/>
  <c r="I97" i="5"/>
  <c r="O77" i="1" s="1"/>
  <c r="G97" i="5"/>
  <c r="H98" i="5"/>
  <c r="I99" i="5"/>
  <c r="G99" i="5"/>
  <c r="H100" i="5"/>
  <c r="I101" i="5"/>
  <c r="G101" i="5"/>
  <c r="H102" i="5"/>
  <c r="G7" i="5"/>
  <c r="I7" i="5"/>
  <c r="O19" i="1" s="1"/>
  <c r="G8" i="5"/>
  <c r="I8" i="5"/>
  <c r="O6" i="1" s="1"/>
  <c r="G9" i="5"/>
  <c r="I9" i="5"/>
  <c r="G10" i="5"/>
  <c r="I10" i="5"/>
  <c r="O12" i="1" s="1"/>
  <c r="G11" i="5"/>
  <c r="I11" i="5"/>
  <c r="O13" i="1" s="1"/>
  <c r="H12" i="5"/>
  <c r="G13" i="5"/>
  <c r="I13" i="5"/>
  <c r="O11" i="1" s="1"/>
  <c r="H14" i="5"/>
  <c r="G15" i="5"/>
  <c r="I15" i="5"/>
  <c r="O9" i="1" s="1"/>
  <c r="H16" i="5"/>
  <c r="G17" i="5"/>
  <c r="I17" i="5"/>
  <c r="H21" i="5"/>
  <c r="H25" i="5"/>
  <c r="H39" i="5"/>
  <c r="H48" i="5"/>
  <c r="H54" i="5"/>
  <c r="H57" i="5"/>
  <c r="H59" i="5"/>
  <c r="H60" i="5"/>
  <c r="G61" i="5"/>
  <c r="H62" i="5"/>
  <c r="I66" i="5"/>
  <c r="G66" i="5"/>
  <c r="H67" i="5"/>
  <c r="I68" i="5"/>
  <c r="O62" i="1" s="1"/>
  <c r="G68" i="5"/>
  <c r="H69" i="5"/>
  <c r="H77" i="5"/>
  <c r="I78" i="5"/>
  <c r="G78" i="5"/>
  <c r="H79" i="5"/>
  <c r="I80" i="5"/>
  <c r="G80" i="5"/>
  <c r="H81" i="5"/>
  <c r="I82" i="5"/>
  <c r="O63" i="1" s="1"/>
  <c r="G82" i="5"/>
  <c r="H83" i="5"/>
  <c r="I84" i="5"/>
  <c r="O59" i="1" s="1"/>
  <c r="G84" i="5"/>
  <c r="H85" i="5"/>
  <c r="I89" i="5"/>
  <c r="O80" i="1" s="1"/>
  <c r="G89" i="5"/>
  <c r="H90" i="5"/>
  <c r="I91" i="5"/>
  <c r="G91" i="5"/>
  <c r="H95" i="5"/>
  <c r="I96" i="5"/>
  <c r="O76" i="1" s="1"/>
  <c r="G96" i="5"/>
  <c r="H97" i="5"/>
  <c r="I98" i="5"/>
  <c r="G98" i="5"/>
  <c r="H99" i="5"/>
  <c r="I100" i="5"/>
  <c r="G100" i="5"/>
  <c r="H101" i="5"/>
  <c r="I102" i="5"/>
  <c r="G102" i="5"/>
  <c r="G53" i="4"/>
  <c r="J53" i="4"/>
  <c r="H38" i="4"/>
  <c r="I38" i="4"/>
  <c r="P42" i="1" s="1"/>
  <c r="G39" i="4"/>
  <c r="J54" i="4"/>
  <c r="I57" i="4"/>
  <c r="P39" i="1" s="1"/>
  <c r="G38" i="4"/>
  <c r="H41" i="4"/>
  <c r="I41" i="4"/>
  <c r="P52" i="1" s="1"/>
  <c r="H43" i="4"/>
  <c r="I43" i="4"/>
  <c r="H45" i="4"/>
  <c r="I45" i="4"/>
  <c r="P38" i="1" s="1"/>
  <c r="H47" i="4"/>
  <c r="I47" i="4"/>
  <c r="P34" i="1" s="1"/>
  <c r="H54" i="4"/>
  <c r="I39" i="4"/>
  <c r="P36" i="1" s="1"/>
  <c r="H40" i="4"/>
  <c r="I40" i="4"/>
  <c r="P44" i="1" s="1"/>
  <c r="H42" i="4"/>
  <c r="I42" i="4"/>
  <c r="P49" i="1" s="1"/>
  <c r="H44" i="4"/>
  <c r="I44" i="4"/>
  <c r="P47" i="1" s="1"/>
  <c r="H46" i="4"/>
  <c r="I46" i="4"/>
  <c r="P46" i="1" s="1"/>
  <c r="H53" i="4"/>
  <c r="I53" i="4"/>
  <c r="P32" i="1" s="1"/>
  <c r="G54" i="4"/>
  <c r="H55" i="4"/>
  <c r="I55" i="4"/>
  <c r="P41" i="1" s="1"/>
  <c r="H58" i="4"/>
  <c r="I58" i="4"/>
  <c r="P48" i="1" s="1"/>
  <c r="I54" i="4"/>
  <c r="P33" i="1" s="1"/>
  <c r="H56" i="4"/>
  <c r="I56" i="4"/>
  <c r="P40" i="1" s="1"/>
  <c r="G57" i="4"/>
  <c r="I59" i="4"/>
  <c r="P35" i="1" s="1"/>
  <c r="G21" i="4"/>
  <c r="J10" i="4"/>
  <c r="J17" i="4"/>
  <c r="J21" i="4"/>
  <c r="G16" i="4"/>
  <c r="J16" i="4"/>
  <c r="J12" i="4"/>
  <c r="J14" i="4"/>
  <c r="H16" i="4"/>
  <c r="J20" i="4"/>
  <c r="H22" i="4"/>
  <c r="H24" i="4"/>
  <c r="H26" i="4"/>
  <c r="H28" i="4"/>
  <c r="H30" i="4"/>
  <c r="H32" i="4"/>
  <c r="H34" i="4"/>
  <c r="J39" i="4"/>
  <c r="J57" i="4"/>
  <c r="H18" i="4"/>
  <c r="H21" i="4"/>
  <c r="H23" i="4"/>
  <c r="J25" i="4"/>
  <c r="H27" i="4"/>
  <c r="H29" i="4"/>
  <c r="H31" i="4"/>
  <c r="H33" i="4"/>
  <c r="H8" i="4"/>
  <c r="H9" i="4"/>
  <c r="H10" i="4"/>
  <c r="G12" i="4"/>
  <c r="J13" i="4"/>
  <c r="I16" i="4"/>
  <c r="P15" i="1" s="1"/>
  <c r="H17" i="4"/>
  <c r="I20" i="4"/>
  <c r="P21" i="1" s="1"/>
  <c r="I22" i="4"/>
  <c r="P28" i="1" s="1"/>
  <c r="I23" i="4"/>
  <c r="P22" i="1" s="1"/>
  <c r="I24" i="4"/>
  <c r="P8" i="1" s="1"/>
  <c r="I25" i="4"/>
  <c r="P16" i="1" s="1"/>
  <c r="I27" i="4"/>
  <c r="P20" i="1" s="1"/>
  <c r="I29" i="4"/>
  <c r="P23" i="1" s="1"/>
  <c r="I30" i="4"/>
  <c r="P26" i="1" s="1"/>
  <c r="I32" i="4"/>
  <c r="I34" i="4"/>
  <c r="P24" i="1" s="1"/>
  <c r="I91" i="4"/>
  <c r="G91" i="4"/>
  <c r="H95" i="4"/>
  <c r="I96" i="4"/>
  <c r="P78" i="1" s="1"/>
  <c r="G96" i="4"/>
  <c r="H97" i="4"/>
  <c r="I98" i="4"/>
  <c r="P77" i="1" s="1"/>
  <c r="G98" i="4"/>
  <c r="H99" i="4"/>
  <c r="I100" i="4"/>
  <c r="P76" i="1" s="1"/>
  <c r="G100" i="4"/>
  <c r="H101" i="4"/>
  <c r="I102" i="4"/>
  <c r="G102" i="4"/>
  <c r="H103" i="4"/>
  <c r="H7" i="4"/>
  <c r="J8" i="4"/>
  <c r="J9" i="4"/>
  <c r="H11" i="4"/>
  <c r="J11" i="4"/>
  <c r="I12" i="4"/>
  <c r="P10" i="1" s="1"/>
  <c r="H13" i="4"/>
  <c r="G14" i="4"/>
  <c r="I14" i="4"/>
  <c r="P14" i="1" s="1"/>
  <c r="H15" i="4"/>
  <c r="J15" i="4"/>
  <c r="I18" i="4"/>
  <c r="P18" i="1" s="1"/>
  <c r="G20" i="4"/>
  <c r="I21" i="4"/>
  <c r="P17" i="1" s="1"/>
  <c r="G25" i="4"/>
  <c r="I26" i="4"/>
  <c r="I28" i="4"/>
  <c r="I31" i="4"/>
  <c r="I33" i="4"/>
  <c r="P25" i="1" s="1"/>
  <c r="I60" i="4"/>
  <c r="G60" i="4"/>
  <c r="H61" i="4"/>
  <c r="I62" i="4"/>
  <c r="P37" i="1" s="1"/>
  <c r="G62" i="4"/>
  <c r="I67" i="4"/>
  <c r="P58" i="1" s="1"/>
  <c r="G67" i="4"/>
  <c r="J67" i="4"/>
  <c r="H68" i="4"/>
  <c r="I76" i="4"/>
  <c r="P59" i="1" s="1"/>
  <c r="G76" i="4"/>
  <c r="H77" i="4"/>
  <c r="I78" i="4"/>
  <c r="P68" i="1" s="1"/>
  <c r="G78" i="4"/>
  <c r="H79" i="4"/>
  <c r="I80" i="4"/>
  <c r="G80" i="4"/>
  <c r="H81" i="4"/>
  <c r="I82" i="4"/>
  <c r="G82" i="4"/>
  <c r="H83" i="4"/>
  <c r="I84" i="4"/>
  <c r="P60" i="1" s="1"/>
  <c r="G84" i="4"/>
  <c r="H85" i="4"/>
  <c r="I86" i="4"/>
  <c r="P70" i="1" s="1"/>
  <c r="G86" i="4"/>
  <c r="G7" i="4"/>
  <c r="I7" i="4"/>
  <c r="P19" i="1" s="1"/>
  <c r="G8" i="4"/>
  <c r="I8" i="4"/>
  <c r="P6" i="1" s="1"/>
  <c r="G9" i="4"/>
  <c r="I9" i="4"/>
  <c r="G10" i="4"/>
  <c r="I10" i="4"/>
  <c r="P12" i="1" s="1"/>
  <c r="G11" i="4"/>
  <c r="I11" i="4"/>
  <c r="P13" i="1" s="1"/>
  <c r="H12" i="4"/>
  <c r="G13" i="4"/>
  <c r="I13" i="4"/>
  <c r="P11" i="1" s="1"/>
  <c r="H14" i="4"/>
  <c r="G15" i="4"/>
  <c r="I15" i="4"/>
  <c r="P9" i="1" s="1"/>
  <c r="G17" i="4"/>
  <c r="I17" i="4"/>
  <c r="H20" i="4"/>
  <c r="H25" i="4"/>
  <c r="H39" i="4"/>
  <c r="H57" i="4"/>
  <c r="H59" i="4"/>
  <c r="H60" i="4"/>
  <c r="I61" i="4"/>
  <c r="P45" i="1" s="1"/>
  <c r="G61" i="4"/>
  <c r="H62" i="4"/>
  <c r="I66" i="4"/>
  <c r="G66" i="4"/>
  <c r="H67" i="4"/>
  <c r="I68" i="4"/>
  <c r="P62" i="1" s="1"/>
  <c r="G68" i="4"/>
  <c r="H76" i="4"/>
  <c r="I77" i="4"/>
  <c r="P72" i="1" s="1"/>
  <c r="G77" i="4"/>
  <c r="H78" i="4"/>
  <c r="I79" i="4"/>
  <c r="G79" i="4"/>
  <c r="H80" i="4"/>
  <c r="I81" i="4"/>
  <c r="G81" i="4"/>
  <c r="H82" i="4"/>
  <c r="I83" i="4"/>
  <c r="P63" i="1" s="1"/>
  <c r="G83" i="4"/>
  <c r="H84" i="4"/>
  <c r="I85" i="4"/>
  <c r="G85" i="4"/>
  <c r="H86" i="4"/>
  <c r="I90" i="4"/>
  <c r="P80" i="1" s="1"/>
  <c r="G90" i="4"/>
  <c r="H91" i="4"/>
  <c r="I95" i="4"/>
  <c r="G95" i="4"/>
  <c r="H96" i="4"/>
  <c r="I97" i="4"/>
  <c r="G97" i="4"/>
  <c r="H98" i="4"/>
  <c r="I99" i="4"/>
  <c r="G99" i="4"/>
  <c r="H100" i="4"/>
  <c r="I101" i="4"/>
  <c r="G101" i="4"/>
  <c r="H102" i="4"/>
  <c r="I103" i="4"/>
  <c r="G103" i="4"/>
  <c r="F60" i="2"/>
  <c r="F2" i="2"/>
  <c r="F39" i="2"/>
  <c r="O43" i="1" l="1"/>
  <c r="F91" i="2"/>
  <c r="F92" i="2"/>
  <c r="F98" i="2"/>
  <c r="F99" i="2"/>
  <c r="F100" i="2"/>
  <c r="F101" i="2"/>
  <c r="F102" i="2"/>
  <c r="F103" i="2"/>
  <c r="F90" i="2"/>
  <c r="F66" i="2"/>
  <c r="F67" i="2"/>
  <c r="F68" i="2"/>
  <c r="J80" i="2"/>
  <c r="F78" i="2"/>
  <c r="J78" i="2" s="1"/>
  <c r="F79" i="2"/>
  <c r="F80" i="2"/>
  <c r="F81" i="2"/>
  <c r="F82" i="2"/>
  <c r="J82" i="2" s="1"/>
  <c r="F83" i="2"/>
  <c r="F84" i="2"/>
  <c r="F85" i="2"/>
  <c r="F86" i="2"/>
  <c r="J86" i="2" s="1"/>
  <c r="F65" i="2"/>
  <c r="F40" i="2"/>
  <c r="F41" i="2"/>
  <c r="F42" i="2"/>
  <c r="F43" i="2"/>
  <c r="F44" i="2"/>
  <c r="F45" i="2"/>
  <c r="F46" i="2"/>
  <c r="F51" i="2"/>
  <c r="F52" i="2"/>
  <c r="G52" i="2" s="1"/>
  <c r="F53" i="2"/>
  <c r="F54" i="2"/>
  <c r="F55" i="2"/>
  <c r="F56" i="2"/>
  <c r="F57" i="2"/>
  <c r="F58" i="2"/>
  <c r="F59" i="2"/>
  <c r="J59" i="2" s="1"/>
  <c r="F61" i="2"/>
  <c r="G61" i="2" s="1"/>
  <c r="F38" i="2"/>
  <c r="F7" i="2"/>
  <c r="F8" i="2"/>
  <c r="F9" i="2"/>
  <c r="S11" i="2"/>
  <c r="S12" i="2"/>
  <c r="S13" i="2"/>
  <c r="S14" i="2"/>
  <c r="S15" i="2"/>
  <c r="S16" i="2"/>
  <c r="S17" i="2"/>
  <c r="I50" i="2" l="1"/>
  <c r="Q43" i="1" s="1"/>
  <c r="G43" i="1" s="1"/>
  <c r="H50" i="2"/>
  <c r="H47" i="2"/>
  <c r="I48" i="2"/>
  <c r="Q53" i="1" s="1"/>
  <c r="K48" i="2"/>
  <c r="I47" i="2"/>
  <c r="Q51" i="1" s="1"/>
  <c r="H48" i="2"/>
  <c r="K50" i="2"/>
  <c r="K47" i="2"/>
  <c r="K103" i="2"/>
  <c r="K90" i="2"/>
  <c r="I97" i="2"/>
  <c r="I95" i="2"/>
  <c r="Q81" i="1" s="1"/>
  <c r="K97" i="2"/>
  <c r="H96" i="2"/>
  <c r="K94" i="2"/>
  <c r="H93" i="2"/>
  <c r="I94" i="2"/>
  <c r="Q82" i="1" s="1"/>
  <c r="H97" i="2"/>
  <c r="K95" i="2"/>
  <c r="H94" i="2"/>
  <c r="I96" i="2"/>
  <c r="Q78" i="1" s="1"/>
  <c r="I93" i="2"/>
  <c r="Q79" i="1" s="1"/>
  <c r="K96" i="2"/>
  <c r="H95" i="2"/>
  <c r="K93" i="2"/>
  <c r="G101" i="2"/>
  <c r="K101" i="2"/>
  <c r="K98" i="2"/>
  <c r="K100" i="2"/>
  <c r="K92" i="2"/>
  <c r="K102" i="2"/>
  <c r="K99" i="2"/>
  <c r="K91" i="2"/>
  <c r="H43" i="1"/>
  <c r="I72" i="2"/>
  <c r="Q63" i="1" s="1"/>
  <c r="K72" i="2"/>
  <c r="H72" i="2"/>
  <c r="I77" i="2"/>
  <c r="Q72" i="1" s="1"/>
  <c r="I76" i="2"/>
  <c r="Q67" i="1" s="1"/>
  <c r="I73" i="2"/>
  <c r="Q69" i="1" s="1"/>
  <c r="I69" i="2"/>
  <c r="Q66" i="1" s="1"/>
  <c r="K76" i="2"/>
  <c r="H75" i="2"/>
  <c r="K73" i="2"/>
  <c r="H71" i="2"/>
  <c r="K69" i="2"/>
  <c r="I75" i="2"/>
  <c r="Q65" i="1" s="1"/>
  <c r="I71" i="2"/>
  <c r="Q61" i="1" s="1"/>
  <c r="K77" i="2"/>
  <c r="H76" i="2"/>
  <c r="K74" i="2"/>
  <c r="H73" i="2"/>
  <c r="K70" i="2"/>
  <c r="H69" i="2"/>
  <c r="I74" i="2"/>
  <c r="Q64" i="1" s="1"/>
  <c r="I70" i="2"/>
  <c r="Q71" i="1" s="1"/>
  <c r="H77" i="2"/>
  <c r="K75" i="2"/>
  <c r="H74" i="2"/>
  <c r="K71" i="2"/>
  <c r="H70" i="2"/>
  <c r="K61" i="2"/>
  <c r="K58" i="2"/>
  <c r="K55" i="2"/>
  <c r="K52" i="2"/>
  <c r="K45" i="2"/>
  <c r="K42" i="2"/>
  <c r="K39" i="2"/>
  <c r="K59" i="2"/>
  <c r="K46" i="2"/>
  <c r="K40" i="2"/>
  <c r="K60" i="2"/>
  <c r="K57" i="2"/>
  <c r="K54" i="2"/>
  <c r="K51" i="2"/>
  <c r="K44" i="2"/>
  <c r="K41" i="2"/>
  <c r="K38" i="2"/>
  <c r="K56" i="2"/>
  <c r="K53" i="2"/>
  <c r="K43" i="2"/>
  <c r="K86" i="2"/>
  <c r="K83" i="2"/>
  <c r="K80" i="2"/>
  <c r="K66" i="2"/>
  <c r="K85" i="2"/>
  <c r="K82" i="2"/>
  <c r="K79" i="2"/>
  <c r="K68" i="2"/>
  <c r="K65" i="2"/>
  <c r="K84" i="2"/>
  <c r="K81" i="2"/>
  <c r="K78" i="2"/>
  <c r="K67" i="2"/>
  <c r="G56" i="2"/>
  <c r="G44" i="2"/>
  <c r="H60" i="2"/>
  <c r="I60" i="2"/>
  <c r="Q45" i="1" s="1"/>
  <c r="G60" i="2"/>
  <c r="J92" i="2"/>
  <c r="J101" i="2"/>
  <c r="J103" i="2"/>
  <c r="J99" i="2"/>
  <c r="J102" i="2"/>
  <c r="J98" i="2"/>
  <c r="J91" i="2"/>
  <c r="G85" i="2"/>
  <c r="J90" i="2"/>
  <c r="J100" i="2"/>
  <c r="G83" i="2"/>
  <c r="J84" i="2"/>
  <c r="J67" i="2"/>
  <c r="G84" i="2"/>
  <c r="G68" i="2"/>
  <c r="J65" i="2"/>
  <c r="J83" i="2"/>
  <c r="J79" i="2"/>
  <c r="J66" i="2"/>
  <c r="I81" i="2"/>
  <c r="G79" i="2"/>
  <c r="G67" i="2"/>
  <c r="G53" i="2"/>
  <c r="G86" i="2"/>
  <c r="G78" i="2"/>
  <c r="I80" i="2"/>
  <c r="J85" i="2"/>
  <c r="J81" i="2"/>
  <c r="J68" i="2"/>
  <c r="G41" i="2"/>
  <c r="G55" i="2"/>
  <c r="G43" i="2"/>
  <c r="G40" i="2"/>
  <c r="G54" i="2"/>
  <c r="G42" i="2"/>
  <c r="G39" i="2"/>
  <c r="G57" i="2"/>
  <c r="G45" i="2"/>
  <c r="G59" i="2"/>
  <c r="G51" i="2"/>
  <c r="G58" i="2"/>
  <c r="G46" i="2"/>
  <c r="F10" i="2"/>
  <c r="H100" i="2"/>
  <c r="I103" i="2"/>
  <c r="I92" i="2"/>
  <c r="G90" i="2"/>
  <c r="G100" i="2"/>
  <c r="H103" i="2"/>
  <c r="H99" i="2"/>
  <c r="H92" i="2"/>
  <c r="I102" i="2"/>
  <c r="I98" i="2"/>
  <c r="Q77" i="1" s="1"/>
  <c r="I77" i="1" s="1"/>
  <c r="I91" i="2"/>
  <c r="H90" i="2"/>
  <c r="I99" i="2"/>
  <c r="G103" i="2"/>
  <c r="G99" i="2"/>
  <c r="G92" i="2"/>
  <c r="H102" i="2"/>
  <c r="H98" i="2"/>
  <c r="H91" i="2"/>
  <c r="I101" i="2"/>
  <c r="G102" i="2"/>
  <c r="G98" i="2"/>
  <c r="G91" i="2"/>
  <c r="H101" i="2"/>
  <c r="I90" i="2"/>
  <c r="Q80" i="1" s="1"/>
  <c r="I100" i="2"/>
  <c r="Q76" i="1" s="1"/>
  <c r="H66" i="2"/>
  <c r="G65" i="2"/>
  <c r="G81" i="2"/>
  <c r="H65" i="2"/>
  <c r="H79" i="2"/>
  <c r="I85" i="2"/>
  <c r="G66" i="2"/>
  <c r="G80" i="2"/>
  <c r="H86" i="2"/>
  <c r="H78" i="2"/>
  <c r="I84" i="2"/>
  <c r="Q60" i="1" s="1"/>
  <c r="I68" i="2"/>
  <c r="Q59" i="1" s="1"/>
  <c r="H82" i="2"/>
  <c r="H83" i="2"/>
  <c r="H67" i="2"/>
  <c r="H41" i="2"/>
  <c r="I44" i="2"/>
  <c r="Q47" i="1" s="1"/>
  <c r="G38" i="2"/>
  <c r="H61" i="2"/>
  <c r="H56" i="2"/>
  <c r="H52" i="2"/>
  <c r="H44" i="2"/>
  <c r="H40" i="2"/>
  <c r="I59" i="2"/>
  <c r="Q32" i="1" s="1"/>
  <c r="I55" i="2"/>
  <c r="Q40" i="1" s="1"/>
  <c r="I51" i="2"/>
  <c r="Q50" i="1" s="1"/>
  <c r="I43" i="2"/>
  <c r="I39" i="2"/>
  <c r="H38" i="2"/>
  <c r="H45" i="2"/>
  <c r="I52" i="2"/>
  <c r="Q38" i="1" s="1"/>
  <c r="H59" i="2"/>
  <c r="H55" i="2"/>
  <c r="H51" i="2"/>
  <c r="H43" i="2"/>
  <c r="H39" i="2"/>
  <c r="I58" i="2"/>
  <c r="Q34" i="1" s="1"/>
  <c r="I54" i="2"/>
  <c r="Q41" i="1" s="1"/>
  <c r="I46" i="2"/>
  <c r="I42" i="2"/>
  <c r="Q49" i="1" s="1"/>
  <c r="H57" i="2"/>
  <c r="H53" i="2"/>
  <c r="I61" i="2"/>
  <c r="I56" i="2"/>
  <c r="Q39" i="1" s="1"/>
  <c r="I40" i="2"/>
  <c r="Q44" i="1" s="1"/>
  <c r="H58" i="2"/>
  <c r="H54" i="2"/>
  <c r="H46" i="2"/>
  <c r="H42" i="2"/>
  <c r="I38" i="2"/>
  <c r="Q42" i="1" s="1"/>
  <c r="I57" i="2"/>
  <c r="I53" i="2"/>
  <c r="I45" i="2"/>
  <c r="Q52" i="1" s="1"/>
  <c r="I41" i="2"/>
  <c r="H85" i="2"/>
  <c r="H81" i="2"/>
  <c r="I65" i="2"/>
  <c r="I83" i="2"/>
  <c r="I79" i="2"/>
  <c r="I67" i="2"/>
  <c r="Q62" i="1" s="1"/>
  <c r="G82" i="2"/>
  <c r="H84" i="2"/>
  <c r="H80" i="2"/>
  <c r="H68" i="2"/>
  <c r="I86" i="2"/>
  <c r="Q70" i="1" s="1"/>
  <c r="I82" i="2"/>
  <c r="I78" i="2"/>
  <c r="Q68" i="1" s="1"/>
  <c r="I66" i="2"/>
  <c r="Q58" i="1" s="1"/>
  <c r="I43" i="1" l="1"/>
  <c r="F43" i="1"/>
  <c r="Q48" i="1"/>
  <c r="H48" i="1" s="1"/>
  <c r="Q35" i="1"/>
  <c r="H35" i="1" s="1"/>
  <c r="G50" i="1"/>
  <c r="H50" i="1"/>
  <c r="I50" i="1"/>
  <c r="G53" i="1"/>
  <c r="H53" i="1"/>
  <c r="I53" i="1"/>
  <c r="G44" i="1"/>
  <c r="I44" i="1"/>
  <c r="H44" i="1"/>
  <c r="Q33" i="1"/>
  <c r="H33" i="1" s="1"/>
  <c r="Q36" i="1"/>
  <c r="H36" i="1" s="1"/>
  <c r="G51" i="1"/>
  <c r="H51" i="1"/>
  <c r="I51" i="1"/>
  <c r="Q37" i="1"/>
  <c r="H37" i="1" s="1"/>
  <c r="Q46" i="1"/>
  <c r="G46" i="1" s="1"/>
  <c r="I58" i="1"/>
  <c r="G58" i="1"/>
  <c r="F58" i="1" s="1"/>
  <c r="I59" i="1"/>
  <c r="G59" i="1"/>
  <c r="F59" i="1" s="1"/>
  <c r="I76" i="1"/>
  <c r="H76" i="1"/>
  <c r="G76" i="1"/>
  <c r="H80" i="1"/>
  <c r="G80" i="1"/>
  <c r="I80" i="1"/>
  <c r="G82" i="1"/>
  <c r="H82" i="1"/>
  <c r="I82" i="1"/>
  <c r="I78" i="1"/>
  <c r="G78" i="1"/>
  <c r="H78" i="1"/>
  <c r="H81" i="1"/>
  <c r="I81" i="1"/>
  <c r="G81" i="1"/>
  <c r="I79" i="1"/>
  <c r="G79" i="1"/>
  <c r="H79" i="1"/>
  <c r="G61" i="1"/>
  <c r="G70" i="1"/>
  <c r="G64" i="1"/>
  <c r="F64" i="1" s="1"/>
  <c r="G69" i="1"/>
  <c r="G67" i="1"/>
  <c r="G71" i="1"/>
  <c r="F71" i="1" s="1"/>
  <c r="G65" i="1"/>
  <c r="G66" i="1"/>
  <c r="G72" i="1"/>
  <c r="F72" i="1" s="1"/>
  <c r="G63" i="1"/>
  <c r="H77" i="1"/>
  <c r="G77" i="1"/>
  <c r="I63" i="1"/>
  <c r="I64" i="1"/>
  <c r="I69" i="1"/>
  <c r="I61" i="1"/>
  <c r="I67" i="1"/>
  <c r="I71" i="1"/>
  <c r="I65" i="1"/>
  <c r="I66" i="1"/>
  <c r="I47" i="1"/>
  <c r="G47" i="1"/>
  <c r="H47" i="1"/>
  <c r="H49" i="1"/>
  <c r="G49" i="1"/>
  <c r="I49" i="1"/>
  <c r="G40" i="1"/>
  <c r="H40" i="1"/>
  <c r="I40" i="1"/>
  <c r="G52" i="1"/>
  <c r="H52" i="1"/>
  <c r="I52" i="1"/>
  <c r="I35" i="1"/>
  <c r="H38" i="1"/>
  <c r="H42" i="1"/>
  <c r="H39" i="1"/>
  <c r="H41" i="1"/>
  <c r="H45" i="1"/>
  <c r="H32" i="1"/>
  <c r="I72" i="1"/>
  <c r="I36" i="1"/>
  <c r="G48" i="1"/>
  <c r="G33" i="1"/>
  <c r="G35" i="1"/>
  <c r="G36" i="1"/>
  <c r="F11" i="2"/>
  <c r="I33" i="1" l="1"/>
  <c r="I48" i="1"/>
  <c r="I46" i="1"/>
  <c r="H46" i="1"/>
  <c r="F51" i="1"/>
  <c r="F53" i="1"/>
  <c r="F44" i="1"/>
  <c r="G37" i="1"/>
  <c r="I37" i="1"/>
  <c r="F50" i="1"/>
  <c r="F80" i="1"/>
  <c r="F76" i="1"/>
  <c r="F78" i="1"/>
  <c r="F81" i="1"/>
  <c r="F82" i="1"/>
  <c r="G68" i="1"/>
  <c r="F66" i="1"/>
  <c r="F67" i="1"/>
  <c r="F70" i="1"/>
  <c r="F63" i="1"/>
  <c r="F65" i="1"/>
  <c r="F69" i="1"/>
  <c r="F61" i="1"/>
  <c r="I62" i="1"/>
  <c r="G62" i="1"/>
  <c r="F62" i="1" s="1"/>
  <c r="I60" i="1"/>
  <c r="G60" i="1"/>
  <c r="F60" i="1" s="1"/>
  <c r="G39" i="1"/>
  <c r="F39" i="1" s="1"/>
  <c r="F47" i="1"/>
  <c r="G32" i="1"/>
  <c r="F32" i="1" s="1"/>
  <c r="G38" i="1"/>
  <c r="F38" i="1" s="1"/>
  <c r="F49" i="1"/>
  <c r="G41" i="1"/>
  <c r="F41" i="1" s="1"/>
  <c r="F40" i="1"/>
  <c r="F52" i="1"/>
  <c r="G45" i="1"/>
  <c r="F45" i="1" s="1"/>
  <c r="I32" i="1"/>
  <c r="G42" i="1"/>
  <c r="F42" i="1" s="1"/>
  <c r="I41" i="1"/>
  <c r="I42" i="1"/>
  <c r="I45" i="1"/>
  <c r="I38" i="1"/>
  <c r="H34" i="1"/>
  <c r="G34" i="1"/>
  <c r="I34" i="1"/>
  <c r="I39" i="1"/>
  <c r="I68" i="1"/>
  <c r="I70" i="1"/>
  <c r="F36" i="1"/>
  <c r="F33" i="1"/>
  <c r="F48" i="1"/>
  <c r="F37" i="1"/>
  <c r="F77" i="1"/>
  <c r="F79" i="1"/>
  <c r="F35" i="1"/>
  <c r="F46" i="1"/>
  <c r="F12" i="2"/>
  <c r="A80" i="1" l="1"/>
  <c r="A76" i="1"/>
  <c r="A79" i="1"/>
  <c r="A77" i="1"/>
  <c r="A82" i="1"/>
  <c r="A81" i="1"/>
  <c r="A78" i="1"/>
  <c r="F68" i="1"/>
  <c r="F34" i="1"/>
  <c r="A34" i="1" s="1"/>
  <c r="F13" i="2"/>
  <c r="A50" i="1" l="1"/>
  <c r="A54" i="1"/>
  <c r="A44" i="1"/>
  <c r="A63" i="1"/>
  <c r="A64" i="1"/>
  <c r="A69" i="1"/>
  <c r="A61" i="1"/>
  <c r="A71" i="1"/>
  <c r="A66" i="1"/>
  <c r="A65" i="1"/>
  <c r="A67" i="1"/>
  <c r="A60" i="1"/>
  <c r="A62" i="1"/>
  <c r="A58" i="1"/>
  <c r="A72" i="1"/>
  <c r="A68" i="1"/>
  <c r="A70" i="1"/>
  <c r="A59" i="1"/>
  <c r="A53" i="1"/>
  <c r="A51" i="1"/>
  <c r="A43" i="1"/>
  <c r="A47" i="1"/>
  <c r="A52" i="1"/>
  <c r="A40" i="1"/>
  <c r="A49" i="1"/>
  <c r="A38" i="1"/>
  <c r="A32" i="1"/>
  <c r="A36" i="1"/>
  <c r="A33" i="1"/>
  <c r="A48" i="1"/>
  <c r="A41" i="1"/>
  <c r="A45" i="1"/>
  <c r="A46" i="1"/>
  <c r="A35" i="1"/>
  <c r="A42" i="1"/>
  <c r="A37" i="1"/>
  <c r="A39" i="1"/>
  <c r="F14" i="2"/>
  <c r="F15" i="2" l="1"/>
  <c r="F16" i="2" l="1"/>
  <c r="F17" i="2" l="1"/>
  <c r="F19" i="2" l="1"/>
  <c r="F20" i="2" l="1"/>
  <c r="F21" i="2" l="1"/>
  <c r="F22" i="2" l="1"/>
  <c r="F23" i="2" l="1"/>
  <c r="F24" i="2" l="1"/>
  <c r="F25" i="2" l="1"/>
  <c r="F26" i="2" l="1"/>
  <c r="F27" i="2" l="1"/>
  <c r="F28" i="2" l="1"/>
  <c r="F29" i="2" l="1"/>
  <c r="F30" i="2" l="1"/>
  <c r="F31" i="2" l="1"/>
  <c r="F32" i="2" l="1"/>
  <c r="F33" i="2" l="1"/>
  <c r="K27" i="2" l="1"/>
  <c r="K7" i="2"/>
  <c r="F34" i="2"/>
  <c r="K12" i="2" s="1"/>
  <c r="G30" i="2"/>
  <c r="G27" i="2"/>
  <c r="K16" i="2" l="1"/>
  <c r="K34" i="2"/>
  <c r="H18" i="2"/>
  <c r="K18" i="2"/>
  <c r="I18" i="2"/>
  <c r="Q27" i="1" s="1"/>
  <c r="K26" i="2"/>
  <c r="K22" i="2"/>
  <c r="K17" i="2"/>
  <c r="K8" i="2"/>
  <c r="K31" i="2"/>
  <c r="K24" i="2"/>
  <c r="K10" i="2"/>
  <c r="K20" i="2"/>
  <c r="K29" i="2"/>
  <c r="K14" i="2"/>
  <c r="K33" i="2"/>
  <c r="K15" i="2"/>
  <c r="K25" i="2"/>
  <c r="K11" i="2"/>
  <c r="K30" i="2"/>
  <c r="K13" i="2"/>
  <c r="K23" i="2"/>
  <c r="K32" i="2"/>
  <c r="K21" i="2"/>
  <c r="K9" i="2"/>
  <c r="K19" i="2"/>
  <c r="K28" i="2"/>
  <c r="I19" i="2"/>
  <c r="Q18" i="1" s="1"/>
  <c r="I11" i="2"/>
  <c r="Q13" i="1" s="1"/>
  <c r="I32" i="2"/>
  <c r="J56" i="2"/>
  <c r="I33" i="2"/>
  <c r="Q25" i="1" s="1"/>
  <c r="I17" i="2"/>
  <c r="I31" i="2"/>
  <c r="I26" i="2"/>
  <c r="I29" i="2"/>
  <c r="I27" i="2"/>
  <c r="Q20" i="1" s="1"/>
  <c r="I20" i="2"/>
  <c r="I25" i="2"/>
  <c r="I28" i="2"/>
  <c r="I8" i="2"/>
  <c r="Q6" i="1" s="1"/>
  <c r="I13" i="2"/>
  <c r="Q11" i="1" s="1"/>
  <c r="I34" i="2"/>
  <c r="Q24" i="1" s="1"/>
  <c r="I14" i="2"/>
  <c r="I16" i="2"/>
  <c r="Q15" i="1" s="1"/>
  <c r="I23" i="2"/>
  <c r="I15" i="2"/>
  <c r="Q9" i="1" s="1"/>
  <c r="I21" i="2"/>
  <c r="Q17" i="1" s="1"/>
  <c r="I24" i="2"/>
  <c r="Q8" i="1" s="1"/>
  <c r="J60" i="2"/>
  <c r="I22" i="2"/>
  <c r="Q28" i="1" s="1"/>
  <c r="I9" i="2"/>
  <c r="I30" i="2"/>
  <c r="I10" i="2"/>
  <c r="Q12" i="1" s="1"/>
  <c r="I12" i="2"/>
  <c r="Q10" i="1" s="1"/>
  <c r="J57" i="2"/>
  <c r="J55" i="2"/>
  <c r="J43" i="2"/>
  <c r="J51" i="2"/>
  <c r="J45" i="2"/>
  <c r="J41" i="2"/>
  <c r="J42" i="2"/>
  <c r="J52" i="2"/>
  <c r="J53" i="2"/>
  <c r="J61" i="2"/>
  <c r="J44" i="2"/>
  <c r="J38" i="2"/>
  <c r="J40" i="2"/>
  <c r="J46" i="2"/>
  <c r="J39" i="2"/>
  <c r="J54" i="2"/>
  <c r="J58" i="2"/>
  <c r="J32" i="2"/>
  <c r="J31" i="2"/>
  <c r="J29" i="2"/>
  <c r="G28" i="2"/>
  <c r="G34" i="2"/>
  <c r="J12" i="2"/>
  <c r="J10" i="2"/>
  <c r="H33" i="2"/>
  <c r="J8" i="2"/>
  <c r="J9" i="2"/>
  <c r="H27" i="2"/>
  <c r="I7" i="2"/>
  <c r="Q19" i="1" s="1"/>
  <c r="H7" i="2"/>
  <c r="H26" i="2"/>
  <c r="J13" i="2"/>
  <c r="G9" i="2"/>
  <c r="H28" i="2"/>
  <c r="H21" i="2"/>
  <c r="H11" i="2"/>
  <c r="H20" i="2"/>
  <c r="H22" i="2"/>
  <c r="G12" i="2"/>
  <c r="G7" i="2"/>
  <c r="H30" i="2"/>
  <c r="H15" i="2"/>
  <c r="H12" i="2"/>
  <c r="J7" i="2"/>
  <c r="G11" i="2"/>
  <c r="H19" i="2"/>
  <c r="H29" i="2"/>
  <c r="G8" i="2"/>
  <c r="H13" i="2"/>
  <c r="H24" i="2"/>
  <c r="H25" i="2"/>
  <c r="H32" i="2"/>
  <c r="H34" i="2"/>
  <c r="J14" i="2"/>
  <c r="G13" i="2"/>
  <c r="H23" i="2"/>
  <c r="H17" i="2"/>
  <c r="H31" i="2"/>
  <c r="J11" i="2"/>
  <c r="H8" i="2"/>
  <c r="H9" i="2"/>
  <c r="H14" i="2"/>
  <c r="H10" i="2"/>
  <c r="G10" i="2"/>
  <c r="H16" i="2"/>
  <c r="J15" i="2"/>
  <c r="G14" i="2"/>
  <c r="J17" i="2"/>
  <c r="J19" i="2"/>
  <c r="J16" i="2"/>
  <c r="J20" i="2"/>
  <c r="G15" i="2"/>
  <c r="G19" i="2"/>
  <c r="G16" i="2"/>
  <c r="G17" i="2"/>
  <c r="G20" i="2"/>
  <c r="G21" i="2"/>
  <c r="J21" i="2"/>
  <c r="J22" i="2"/>
  <c r="J23" i="2"/>
  <c r="G23" i="2"/>
  <c r="J25" i="2"/>
  <c r="G22" i="2"/>
  <c r="J24" i="2"/>
  <c r="G25" i="2"/>
  <c r="G24" i="2"/>
  <c r="G26" i="2"/>
  <c r="J30" i="2"/>
  <c r="J28" i="2"/>
  <c r="J26" i="2"/>
  <c r="J34" i="2"/>
  <c r="J27" i="2"/>
  <c r="G32" i="2"/>
  <c r="J33" i="2"/>
  <c r="G29" i="2"/>
  <c r="G31" i="2"/>
  <c r="G33" i="2"/>
  <c r="G27" i="1" l="1"/>
  <c r="H27" i="1"/>
  <c r="I27" i="1"/>
  <c r="Q23" i="1"/>
  <c r="H23" i="1" s="1"/>
  <c r="Q22" i="1"/>
  <c r="I22" i="1" s="1"/>
  <c r="Q16" i="1"/>
  <c r="H16" i="1" s="1"/>
  <c r="Q26" i="1"/>
  <c r="H26" i="1" s="1"/>
  <c r="Q14" i="1"/>
  <c r="I14" i="1" s="1"/>
  <c r="Q21" i="1"/>
  <c r="H21" i="1" s="1"/>
  <c r="H9" i="1"/>
  <c r="H13" i="1"/>
  <c r="H10" i="1"/>
  <c r="H7" i="1"/>
  <c r="H8" i="1"/>
  <c r="H24" i="1"/>
  <c r="G24" i="1"/>
  <c r="I24" i="1"/>
  <c r="H20" i="1"/>
  <c r="H18" i="1"/>
  <c r="H12" i="1"/>
  <c r="H28" i="1"/>
  <c r="H17" i="1"/>
  <c r="H15" i="1"/>
  <c r="H11" i="1"/>
  <c r="H19" i="1"/>
  <c r="H6" i="1"/>
  <c r="G11" i="1"/>
  <c r="G21" i="1" l="1"/>
  <c r="F27" i="1"/>
  <c r="G16" i="1"/>
  <c r="F16" i="1" s="1"/>
  <c r="I16" i="1"/>
  <c r="I26" i="1"/>
  <c r="G22" i="1"/>
  <c r="G14" i="1"/>
  <c r="I21" i="1"/>
  <c r="G26" i="1"/>
  <c r="F26" i="1" s="1"/>
  <c r="G23" i="1"/>
  <c r="F23" i="1" s="1"/>
  <c r="H14" i="1"/>
  <c r="H22" i="1"/>
  <c r="I23" i="1"/>
  <c r="G28" i="1"/>
  <c r="F28" i="1" s="1"/>
  <c r="G12" i="1"/>
  <c r="F12" i="1" s="1"/>
  <c r="G20" i="1"/>
  <c r="F20" i="1" s="1"/>
  <c r="G9" i="1"/>
  <c r="F9" i="1" s="1"/>
  <c r="G17" i="1"/>
  <c r="F17" i="1" s="1"/>
  <c r="G10" i="1"/>
  <c r="F10" i="1" s="1"/>
  <c r="G6" i="1"/>
  <c r="F6" i="1" s="1"/>
  <c r="I10" i="1"/>
  <c r="I17" i="1"/>
  <c r="I20" i="1"/>
  <c r="I9" i="1"/>
  <c r="I25" i="1"/>
  <c r="H25" i="1"/>
  <c r="G25" i="1"/>
  <c r="G15" i="1"/>
  <c r="F15" i="1" s="1"/>
  <c r="G7" i="1"/>
  <c r="F7" i="1" s="1"/>
  <c r="G19" i="1"/>
  <c r="F19" i="1" s="1"/>
  <c r="I15" i="1"/>
  <c r="I12" i="1"/>
  <c r="I18" i="1"/>
  <c r="I7" i="1"/>
  <c r="G18" i="1"/>
  <c r="F18" i="1" s="1"/>
  <c r="G8" i="1"/>
  <c r="F8" i="1" s="1"/>
  <c r="G13" i="1"/>
  <c r="F13" i="1" s="1"/>
  <c r="I11" i="1"/>
  <c r="I28" i="1"/>
  <c r="F24" i="1"/>
  <c r="I8" i="1"/>
  <c r="I13" i="1"/>
  <c r="I6" i="1"/>
  <c r="I19" i="1"/>
  <c r="F21" i="1"/>
  <c r="F11" i="1"/>
  <c r="F22" i="1" l="1"/>
  <c r="F14" i="1"/>
  <c r="F25" i="1"/>
  <c r="A25" i="1" l="1"/>
  <c r="A27" i="1"/>
  <c r="A9" i="1"/>
  <c r="A20" i="1"/>
  <c r="A10" i="1"/>
  <c r="A13" i="1"/>
  <c r="A28" i="1"/>
  <c r="A23" i="1"/>
  <c r="A21" i="1"/>
  <c r="A16" i="1"/>
  <c r="A6" i="1"/>
  <c r="A14" i="1"/>
  <c r="A12" i="1"/>
  <c r="A26" i="1"/>
  <c r="A15" i="1"/>
  <c r="A19" i="1"/>
  <c r="A22" i="1"/>
  <c r="A18" i="1"/>
  <c r="A17" i="1"/>
  <c r="A7" i="1"/>
  <c r="A11" i="1"/>
  <c r="A8" i="1"/>
  <c r="A24" i="1"/>
</calcChain>
</file>

<file path=xl/sharedStrings.xml><?xml version="1.0" encoding="utf-8"?>
<sst xmlns="http://schemas.openxmlformats.org/spreadsheetml/2006/main" count="2490" uniqueCount="160">
  <si>
    <t>Clive Thomas</t>
  </si>
  <si>
    <t>Terry Smith</t>
  </si>
  <si>
    <t>Stuart Rees</t>
  </si>
  <si>
    <t>Kate O'Sullivan</t>
  </si>
  <si>
    <t>Mike Kay</t>
  </si>
  <si>
    <t>Robert Griffiths</t>
  </si>
  <si>
    <t>Eunice Carter</t>
  </si>
  <si>
    <t>BLUE Course:</t>
  </si>
  <si>
    <t>Rank</t>
  </si>
  <si>
    <t>Name</t>
  </si>
  <si>
    <t>Class</t>
  </si>
  <si>
    <t>Plan</t>
  </si>
  <si>
    <t>Handi-cap</t>
  </si>
  <si>
    <t>Total</t>
  </si>
  <si>
    <t>Planning</t>
  </si>
  <si>
    <t>Events</t>
  </si>
  <si>
    <t>Megan Carter-Davies</t>
  </si>
  <si>
    <t>W18</t>
  </si>
  <si>
    <t>Y</t>
  </si>
  <si>
    <t>W50</t>
  </si>
  <si>
    <t>Joe Thomas</t>
  </si>
  <si>
    <t>M16</t>
  </si>
  <si>
    <t>N</t>
  </si>
  <si>
    <t xml:space="preserve">Mike Kay </t>
  </si>
  <si>
    <t>M60</t>
  </si>
  <si>
    <t>Gabriella Walsh</t>
  </si>
  <si>
    <t>W45</t>
  </si>
  <si>
    <t>M45</t>
  </si>
  <si>
    <t>M60**</t>
  </si>
  <si>
    <t>Daniel Thomas</t>
  </si>
  <si>
    <t>Dafydd Thomas</t>
  </si>
  <si>
    <t>M50</t>
  </si>
  <si>
    <t>Pete Garson</t>
  </si>
  <si>
    <t>William Thomas</t>
  </si>
  <si>
    <t>M14</t>
  </si>
  <si>
    <t>Steve Walsh</t>
  </si>
  <si>
    <t>M70</t>
  </si>
  <si>
    <t>Stephen Ware</t>
  </si>
  <si>
    <t>Alastair Gardner-Smith</t>
  </si>
  <si>
    <t>M18</t>
  </si>
  <si>
    <t>Fay Walsh</t>
  </si>
  <si>
    <t>Zoe Walsh</t>
  </si>
  <si>
    <t>Bill Marlow</t>
  </si>
  <si>
    <t>M65</t>
  </si>
  <si>
    <t>Emily Thomas</t>
  </si>
  <si>
    <t>W16</t>
  </si>
  <si>
    <t>Alex Kilcoyne</t>
  </si>
  <si>
    <t>W21</t>
  </si>
  <si>
    <t>Joe Sharples</t>
  </si>
  <si>
    <t>M12</t>
  </si>
  <si>
    <t>Tom Garrod</t>
  </si>
  <si>
    <t>Geraint Roberts</t>
  </si>
  <si>
    <t>Tom Carter-Davies</t>
  </si>
  <si>
    <t>Lt. Green Course:</t>
  </si>
  <si>
    <t>Handicap</t>
  </si>
  <si>
    <t>Catrin Skym</t>
  </si>
  <si>
    <t>W14</t>
  </si>
  <si>
    <t>Harry Thomas</t>
  </si>
  <si>
    <t>Trevor Sharples</t>
  </si>
  <si>
    <t>M55</t>
  </si>
  <si>
    <t>Rodrigo Laing</t>
  </si>
  <si>
    <t>Josh Osborne</t>
  </si>
  <si>
    <t>Lily Dowling</t>
  </si>
  <si>
    <t>W12</t>
  </si>
  <si>
    <t>ORANGE Course:</t>
  </si>
  <si>
    <t>Hannah Thomas</t>
  </si>
  <si>
    <t>W10</t>
  </si>
  <si>
    <t>Dylan Skym</t>
  </si>
  <si>
    <t>Rowen King</t>
  </si>
  <si>
    <t>Carolyn Griffiths</t>
  </si>
  <si>
    <t>W35</t>
  </si>
  <si>
    <t>Andrew King</t>
  </si>
  <si>
    <t>M10</t>
  </si>
  <si>
    <t>Shimena Laing</t>
  </si>
  <si>
    <t>Idris Strongman</t>
  </si>
  <si>
    <t xml:space="preserve">Ben Garson </t>
  </si>
  <si>
    <t>Julia Sharples</t>
  </si>
  <si>
    <t>Joseph Sharples</t>
  </si>
  <si>
    <t>Emrys Evans</t>
  </si>
  <si>
    <t>Rose Phillips</t>
  </si>
  <si>
    <t>W60</t>
  </si>
  <si>
    <t>YELLOW Course:</t>
  </si>
  <si>
    <t>W12**</t>
  </si>
  <si>
    <t>Hazel McDonald</t>
  </si>
  <si>
    <t xml:space="preserve">Thomas Glasby </t>
  </si>
  <si>
    <t>Davey McDonald</t>
  </si>
  <si>
    <t>Hannah Fletcher</t>
  </si>
  <si>
    <t>Elliot Fletcher</t>
  </si>
  <si>
    <t>Tali Lee-Mcpherson</t>
  </si>
  <si>
    <t>Melchi Lee-Macpherson</t>
  </si>
  <si>
    <t>Danish</t>
  </si>
  <si>
    <t>Points %</t>
  </si>
  <si>
    <t>1000 Scot</t>
  </si>
  <si>
    <t>Std</t>
  </si>
  <si>
    <t>handi</t>
  </si>
  <si>
    <t>Time</t>
  </si>
  <si>
    <t>zoe walsh</t>
  </si>
  <si>
    <t>w18</t>
  </si>
  <si>
    <t>Maenarthur</t>
  </si>
  <si>
    <t>Gwanas</t>
  </si>
  <si>
    <t>Foel Goch</t>
  </si>
  <si>
    <t>Hafren</t>
  </si>
  <si>
    <t>Richard Kipling</t>
  </si>
  <si>
    <t>M35</t>
  </si>
  <si>
    <t>Julia Tello</t>
  </si>
  <si>
    <t>Ben Garson</t>
  </si>
  <si>
    <t>Iestyn Evans</t>
  </si>
  <si>
    <t>M20</t>
  </si>
  <si>
    <t>W14*</t>
  </si>
  <si>
    <t>W18*</t>
  </si>
  <si>
    <t>W21*</t>
  </si>
  <si>
    <t>Aled Skym</t>
  </si>
  <si>
    <t>Ffion Evans</t>
  </si>
  <si>
    <t>Keelin McDonald</t>
  </si>
  <si>
    <t>James Laing</t>
  </si>
  <si>
    <t>Ilze Skujina</t>
  </si>
  <si>
    <t>Paul McCulloch</t>
  </si>
  <si>
    <t>M40</t>
  </si>
  <si>
    <t>Kate Palshis</t>
  </si>
  <si>
    <t>Liv Pedersen</t>
  </si>
  <si>
    <t>Teif Owen</t>
  </si>
  <si>
    <t>Finlay Jones</t>
  </si>
  <si>
    <t>Daisy McCulloch</t>
  </si>
  <si>
    <t>Teifi</t>
  </si>
  <si>
    <t>Idris Strangman</t>
  </si>
  <si>
    <t>Penri Jones</t>
  </si>
  <si>
    <t>Allt Goch</t>
  </si>
  <si>
    <t>Mathrafal</t>
  </si>
  <si>
    <t>Foel_Goch</t>
  </si>
  <si>
    <t>Allt_Goch</t>
  </si>
  <si>
    <t>BLACK Course:</t>
  </si>
  <si>
    <t>BROWN Course:</t>
  </si>
  <si>
    <t>Blue</t>
  </si>
  <si>
    <t>Green</t>
  </si>
  <si>
    <t/>
  </si>
  <si>
    <t>Green Course:</t>
  </si>
  <si>
    <t>Brown</t>
  </si>
  <si>
    <t>03/10/15</t>
  </si>
  <si>
    <t>20/09/15</t>
  </si>
  <si>
    <t>12/07/15</t>
  </si>
  <si>
    <t>14/06/15</t>
  </si>
  <si>
    <t>16/05/15</t>
  </si>
  <si>
    <t>29/03/15</t>
  </si>
  <si>
    <t>01/02/15</t>
  </si>
  <si>
    <t>18/01/15</t>
  </si>
  <si>
    <t>Carneddau</t>
  </si>
  <si>
    <t>Hcap</t>
  </si>
  <si>
    <t>Score</t>
  </si>
  <si>
    <t>Robert Griffiths &amp; SW</t>
  </si>
  <si>
    <t xml:space="preserve">handicap </t>
  </si>
  <si>
    <t>W55</t>
  </si>
  <si>
    <t>M75</t>
  </si>
  <si>
    <t>W65</t>
  </si>
  <si>
    <t>W70</t>
  </si>
  <si>
    <t>W75</t>
  </si>
  <si>
    <t xml:space="preserve">Age Class </t>
  </si>
  <si>
    <t>M21</t>
  </si>
  <si>
    <t>Matthew Sharples</t>
  </si>
  <si>
    <t>-</t>
  </si>
  <si>
    <t>M65*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</si>
</sst>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m]:ss"/>
  </numFmts>
  <fonts count="10" x14ac:knownFonts="1">
    <font>
      <sz val="11"/>
      <color theme="1"/>
      <name val="Calibri"/>
      <family val="2"/>
      <scheme val="minor"/>
    </font>
    <font>
      <sz val="11"/>
      <color theme="1"/>
      <name val="Arial Narrow"/>
      <family val="2"/>
    </font>
    <font>
      <sz val="11"/>
      <name val="Arial Narrow"/>
      <family val="2"/>
    </font>
    <font>
      <b/>
      <u/>
      <sz val="11"/>
      <name val="Arial Narrow"/>
      <family val="2"/>
    </font>
    <font>
      <strike/>
      <sz val="11"/>
      <color theme="1"/>
      <name val="Arial Narrow"/>
      <family val="2"/>
    </font>
    <font>
      <strike/>
      <sz val="11"/>
      <color theme="1"/>
      <name val="Calibri"/>
      <family val="2"/>
      <scheme val="minor"/>
    </font>
    <font>
      <b/>
      <sz val="11"/>
      <color theme="1"/>
      <name val="Calibri"/>
      <family val="2"/>
      <scheme val="minor"/>
    </font>
    <font>
      <b/>
      <sz val="11"/>
      <color theme="1"/>
      <name val="Arial Narrow"/>
      <family val="2"/>
    </font>
    <font>
      <sz val="10"/>
      <name val="Arial Narrow"/>
      <family val="2"/>
    </font>
    <font>
      <b/>
      <sz val="10"/>
      <name val="Arial Narrow"/>
      <family val="2"/>
    </font>
  </fonts>
  <fills count="1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59999389629810485"/>
        <bgColor rgb="FFFF6600"/>
      </patternFill>
    </fill>
    <fill>
      <patternFill patternType="solid">
        <fgColor theme="9" tint="0.79998168889431442"/>
        <bgColor indexed="64"/>
      </patternFill>
    </fill>
    <fill>
      <patternFill patternType="solid">
        <fgColor theme="9" tint="0.79998168889431442"/>
        <bgColor rgb="FFFF6600"/>
      </patternFill>
    </fill>
    <fill>
      <patternFill patternType="solid">
        <fgColor rgb="FFFFFF99"/>
        <bgColor indexed="64"/>
      </patternFill>
    </fill>
    <fill>
      <patternFill patternType="solid">
        <fgColor rgb="FFFFFF66"/>
        <bgColor indexed="64"/>
      </patternFill>
    </fill>
    <fill>
      <patternFill patternType="solid">
        <fgColor theme="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s>
  <cellStyleXfs count="1">
    <xf numFmtId="0" fontId="0" fillId="0" borderId="0"/>
  </cellStyleXfs>
  <cellXfs count="130">
    <xf numFmtId="0" fontId="0" fillId="0" borderId="0" xfId="0"/>
    <xf numFmtId="0" fontId="1" fillId="0" borderId="0" xfId="0" applyFont="1" applyAlignment="1">
      <alignment horizontal="center"/>
    </xf>
    <xf numFmtId="0" fontId="1" fillId="0" borderId="0" xfId="0" applyFont="1"/>
    <xf numFmtId="1" fontId="1" fillId="0" borderId="0" xfId="0" applyNumberFormat="1" applyFont="1" applyAlignment="1">
      <alignment horizontal="center"/>
    </xf>
    <xf numFmtId="0" fontId="1" fillId="0" borderId="0" xfId="0" applyFont="1" applyAlignment="1">
      <alignment horizontal="center" vertical="center"/>
    </xf>
    <xf numFmtId="0" fontId="0" fillId="0" borderId="0" xfId="0" applyFont="1"/>
    <xf numFmtId="0" fontId="2" fillId="3" borderId="1" xfId="0" applyFont="1" applyFill="1" applyBorder="1" applyAlignment="1">
      <alignment horizontal="center" vertical="center" wrapText="1"/>
    </xf>
    <xf numFmtId="0" fontId="1" fillId="0" borderId="2" xfId="0" applyFont="1" applyBorder="1" applyAlignment="1">
      <alignment horizontal="center"/>
    </xf>
    <xf numFmtId="1" fontId="1" fillId="0" borderId="2" xfId="0" applyNumberFormat="1" applyFont="1" applyBorder="1" applyAlignment="1">
      <alignment horizontal="center"/>
    </xf>
    <xf numFmtId="1" fontId="4" fillId="0" borderId="2" xfId="0" applyNumberFormat="1"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1" fillId="0" borderId="5" xfId="0" applyFont="1" applyBorder="1" applyAlignment="1">
      <alignment horizontal="center"/>
    </xf>
    <xf numFmtId="0" fontId="1" fillId="0" borderId="2" xfId="0" applyFont="1" applyFill="1" applyBorder="1" applyAlignment="1">
      <alignment horizontal="center"/>
    </xf>
    <xf numFmtId="1" fontId="1" fillId="0" borderId="3" xfId="0" applyNumberFormat="1" applyFont="1" applyBorder="1" applyAlignment="1">
      <alignment horizontal="center"/>
    </xf>
    <xf numFmtId="1" fontId="0" fillId="7" borderId="0" xfId="0" applyNumberFormat="1" applyFill="1"/>
    <xf numFmtId="1" fontId="0" fillId="8" borderId="0" xfId="0" applyNumberFormat="1" applyFill="1"/>
    <xf numFmtId="1" fontId="0" fillId="9" borderId="0" xfId="0" applyNumberFormat="1" applyFill="1"/>
    <xf numFmtId="1" fontId="0" fillId="10" borderId="0" xfId="0" applyNumberFormat="1" applyFill="1"/>
    <xf numFmtId="0" fontId="0" fillId="7" borderId="0" xfId="0" applyFill="1" applyAlignment="1">
      <alignment vertical="top" wrapText="1"/>
    </xf>
    <xf numFmtId="0" fontId="0" fillId="8" borderId="0" xfId="0" applyFill="1" applyAlignment="1">
      <alignment vertical="top" wrapText="1"/>
    </xf>
    <xf numFmtId="0" fontId="0" fillId="9" borderId="0" xfId="0" applyFill="1" applyAlignment="1">
      <alignment vertical="top" wrapText="1"/>
    </xf>
    <xf numFmtId="0" fontId="0" fillId="10" borderId="0" xfId="0" applyFill="1" applyAlignment="1">
      <alignment vertical="top" wrapText="1"/>
    </xf>
    <xf numFmtId="0" fontId="0" fillId="0" borderId="0" xfId="0" applyAlignment="1">
      <alignment vertical="top" wrapText="1"/>
    </xf>
    <xf numFmtId="164" fontId="0" fillId="0" borderId="0" xfId="0" applyNumberFormat="1"/>
    <xf numFmtId="0" fontId="0" fillId="0" borderId="0" xfId="0" applyProtection="1">
      <protection locked="0"/>
    </xf>
    <xf numFmtId="0" fontId="0" fillId="0" borderId="0" xfId="0" applyAlignment="1" applyProtection="1">
      <alignment vertical="top" wrapText="1"/>
      <protection locked="0"/>
    </xf>
    <xf numFmtId="0" fontId="0" fillId="6" borderId="0" xfId="0" applyFill="1" applyAlignment="1" applyProtection="1">
      <alignment vertical="top" wrapText="1"/>
      <protection locked="0"/>
    </xf>
    <xf numFmtId="165" fontId="0" fillId="0" borderId="0" xfId="0" applyNumberFormat="1"/>
    <xf numFmtId="165" fontId="0" fillId="6" borderId="0" xfId="0" applyNumberFormat="1" applyFill="1"/>
    <xf numFmtId="1" fontId="0" fillId="0" borderId="0" xfId="0" applyNumberFormat="1"/>
    <xf numFmtId="1" fontId="4" fillId="0" borderId="2" xfId="0" applyNumberFormat="1" applyFont="1" applyBorder="1" applyAlignment="1">
      <alignment horizontal="center" vertical="center"/>
    </xf>
    <xf numFmtId="1" fontId="0" fillId="0" borderId="0" xfId="0" quotePrefix="1" applyNumberFormat="1"/>
    <xf numFmtId="1" fontId="1" fillId="0" borderId="2" xfId="0" applyNumberFormat="1" applyFont="1" applyBorder="1" applyAlignment="1">
      <alignment horizontal="center" vertical="center"/>
    </xf>
    <xf numFmtId="1" fontId="5" fillId="0" borderId="2" xfId="0" applyNumberFormat="1" applyFont="1" applyBorder="1" applyAlignment="1">
      <alignment horizontal="center"/>
    </xf>
    <xf numFmtId="0" fontId="1" fillId="11" borderId="2" xfId="0" applyFont="1" applyFill="1" applyBorder="1" applyAlignment="1">
      <alignment horizontal="center"/>
    </xf>
    <xf numFmtId="1" fontId="1" fillId="12" borderId="2" xfId="0" applyNumberFormat="1" applyFont="1" applyFill="1" applyBorder="1" applyAlignment="1">
      <alignment horizontal="center"/>
    </xf>
    <xf numFmtId="0" fontId="1" fillId="12" borderId="2" xfId="0" applyFont="1" applyFill="1" applyBorder="1" applyAlignment="1">
      <alignment horizontal="center"/>
    </xf>
    <xf numFmtId="1" fontId="4" fillId="11" borderId="2" xfId="0" applyNumberFormat="1" applyFont="1" applyFill="1" applyBorder="1" applyAlignment="1">
      <alignment horizontal="center"/>
    </xf>
    <xf numFmtId="1" fontId="4" fillId="11" borderId="2" xfId="0" applyNumberFormat="1" applyFont="1" applyFill="1" applyBorder="1" applyAlignment="1">
      <alignment horizontal="center" vertical="center"/>
    </xf>
    <xf numFmtId="0" fontId="1" fillId="13" borderId="2" xfId="0" applyFont="1" applyFill="1" applyBorder="1" applyAlignment="1">
      <alignment horizontal="center"/>
    </xf>
    <xf numFmtId="1" fontId="1" fillId="14" borderId="2" xfId="0" applyNumberFormat="1" applyFont="1" applyFill="1" applyBorder="1" applyAlignment="1">
      <alignment horizontal="center"/>
    </xf>
    <xf numFmtId="0" fontId="1" fillId="14" borderId="2" xfId="0" applyFont="1" applyFill="1" applyBorder="1" applyAlignment="1">
      <alignment horizontal="center"/>
    </xf>
    <xf numFmtId="1" fontId="1" fillId="13" borderId="2" xfId="0" applyNumberFormat="1" applyFont="1" applyFill="1" applyBorder="1" applyAlignment="1">
      <alignment horizontal="center"/>
    </xf>
    <xf numFmtId="1" fontId="1" fillId="13" borderId="2" xfId="0" applyNumberFormat="1" applyFont="1" applyFill="1" applyBorder="1" applyAlignment="1">
      <alignment horizontal="center" vertical="center"/>
    </xf>
    <xf numFmtId="1" fontId="4" fillId="13" borderId="2" xfId="0" applyNumberFormat="1" applyFont="1" applyFill="1" applyBorder="1" applyAlignment="1">
      <alignment horizontal="center"/>
    </xf>
    <xf numFmtId="1" fontId="4" fillId="13" borderId="2" xfId="0" applyNumberFormat="1" applyFont="1" applyFill="1" applyBorder="1" applyAlignment="1">
      <alignment horizontal="center" vertical="center"/>
    </xf>
    <xf numFmtId="1" fontId="1" fillId="0" borderId="2" xfId="0" applyNumberFormat="1" applyFont="1" applyFill="1" applyBorder="1" applyAlignment="1">
      <alignment horizontal="center"/>
    </xf>
    <xf numFmtId="1" fontId="1" fillId="11" borderId="2" xfId="0" applyNumberFormat="1" applyFont="1" applyFill="1" applyBorder="1" applyAlignment="1">
      <alignment horizontal="center"/>
    </xf>
    <xf numFmtId="1" fontId="1" fillId="11" borderId="2" xfId="0" applyNumberFormat="1" applyFont="1" applyFill="1" applyBorder="1"/>
    <xf numFmtId="1" fontId="1" fillId="11" borderId="2" xfId="0" applyNumberFormat="1" applyFont="1" applyFill="1" applyBorder="1" applyAlignment="1">
      <alignment horizontal="center" vertical="center"/>
    </xf>
    <xf numFmtId="0" fontId="1" fillId="12" borderId="2" xfId="0" applyNumberFormat="1" applyFont="1" applyFill="1" applyBorder="1" applyAlignment="1">
      <alignment horizontal="center"/>
    </xf>
    <xf numFmtId="0" fontId="0" fillId="15" borderId="2" xfId="0" quotePrefix="1" applyFont="1" applyFill="1" applyBorder="1" applyAlignment="1">
      <alignment horizontal="center"/>
    </xf>
    <xf numFmtId="0" fontId="1" fillId="15" borderId="2" xfId="0" applyFont="1" applyFill="1" applyBorder="1" applyAlignment="1">
      <alignment horizontal="center"/>
    </xf>
    <xf numFmtId="1" fontId="1" fillId="15" borderId="2" xfId="0" applyNumberFormat="1" applyFont="1" applyFill="1" applyBorder="1" applyAlignment="1">
      <alignment horizontal="center"/>
    </xf>
    <xf numFmtId="1" fontId="4" fillId="15" borderId="2" xfId="0" applyNumberFormat="1" applyFont="1" applyFill="1" applyBorder="1" applyAlignment="1">
      <alignment horizontal="center"/>
    </xf>
    <xf numFmtId="1" fontId="4" fillId="15" borderId="2" xfId="0" applyNumberFormat="1" applyFont="1" applyFill="1" applyBorder="1" applyAlignment="1">
      <alignment horizontal="center" vertical="center"/>
    </xf>
    <xf numFmtId="0" fontId="0" fillId="16" borderId="2" xfId="0" quotePrefix="1" applyFont="1" applyFill="1" applyBorder="1" applyAlignment="1">
      <alignment horizontal="center"/>
    </xf>
    <xf numFmtId="0" fontId="1" fillId="16" borderId="2" xfId="0" applyFont="1" applyFill="1" applyBorder="1" applyAlignment="1">
      <alignment horizontal="center"/>
    </xf>
    <xf numFmtId="1" fontId="1" fillId="16" borderId="2" xfId="0" applyNumberFormat="1" applyFont="1" applyFill="1" applyBorder="1" applyAlignment="1">
      <alignment horizontal="center"/>
    </xf>
    <xf numFmtId="1" fontId="4" fillId="16" borderId="2" xfId="0" applyNumberFormat="1" applyFont="1" applyFill="1" applyBorder="1" applyAlignment="1">
      <alignment horizontal="center"/>
    </xf>
    <xf numFmtId="1" fontId="4" fillId="16" borderId="2" xfId="0" applyNumberFormat="1" applyFont="1" applyFill="1" applyBorder="1" applyAlignment="1">
      <alignment horizontal="center" vertical="center"/>
    </xf>
    <xf numFmtId="0" fontId="2" fillId="6" borderId="0" xfId="0" applyFont="1" applyFill="1" applyAlignment="1" applyProtection="1">
      <alignment horizontal="center" vertical="top" wrapText="1"/>
      <protection locked="0"/>
    </xf>
    <xf numFmtId="0" fontId="2" fillId="6" borderId="2" xfId="0" applyFont="1" applyFill="1" applyBorder="1" applyAlignment="1" applyProtection="1">
      <alignment horizontal="center" vertical="top" wrapText="1"/>
      <protection locked="0"/>
    </xf>
    <xf numFmtId="1" fontId="2" fillId="6" borderId="2" xfId="0" applyNumberFormat="1" applyFont="1" applyFill="1" applyBorder="1" applyAlignment="1" applyProtection="1">
      <alignment horizontal="center" vertical="top" wrapText="1"/>
      <protection locked="0"/>
    </xf>
    <xf numFmtId="0" fontId="2" fillId="6" borderId="0" xfId="0" applyFont="1" applyFill="1" applyAlignment="1" applyProtection="1">
      <alignment vertical="top" wrapText="1"/>
      <protection locked="0"/>
    </xf>
    <xf numFmtId="1" fontId="2" fillId="6" borderId="0" xfId="0" applyNumberFormat="1" applyFont="1" applyFill="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1" fontId="2" fillId="0" borderId="2" xfId="0" applyNumberFormat="1" applyFont="1" applyBorder="1" applyAlignment="1" applyProtection="1">
      <alignment horizontal="center" vertical="top" wrapText="1"/>
      <protection locked="0"/>
    </xf>
    <xf numFmtId="0" fontId="2" fillId="0" borderId="0" xfId="0" applyFont="1" applyAlignment="1" applyProtection="1">
      <alignment vertical="top" wrapText="1"/>
      <protection locked="0"/>
    </xf>
    <xf numFmtId="1" fontId="2" fillId="0" borderId="0" xfId="0" applyNumberFormat="1" applyFont="1" applyAlignment="1" applyProtection="1">
      <alignment horizontal="center" vertical="top" wrapText="1"/>
      <protection locked="0"/>
    </xf>
    <xf numFmtId="0" fontId="2" fillId="17" borderId="0" xfId="0" applyFont="1" applyFill="1" applyAlignment="1" applyProtection="1">
      <alignment horizontal="center" vertical="top" wrapText="1"/>
      <protection locked="0"/>
    </xf>
    <xf numFmtId="0" fontId="2" fillId="17" borderId="2" xfId="0" applyFont="1" applyFill="1" applyBorder="1" applyAlignment="1" applyProtection="1">
      <alignment horizontal="center" vertical="top" wrapText="1"/>
      <protection locked="0"/>
    </xf>
    <xf numFmtId="1" fontId="2" fillId="17" borderId="2" xfId="0" applyNumberFormat="1" applyFont="1" applyFill="1" applyBorder="1" applyAlignment="1" applyProtection="1">
      <alignment horizontal="center" vertical="top" wrapText="1"/>
      <protection locked="0"/>
    </xf>
    <xf numFmtId="1" fontId="2" fillId="17" borderId="0" xfId="0" applyNumberFormat="1" applyFont="1" applyFill="1" applyAlignment="1" applyProtection="1">
      <alignment horizontal="center" vertical="top" wrapText="1"/>
      <protection locked="0"/>
    </xf>
    <xf numFmtId="0" fontId="7" fillId="0" borderId="2" xfId="0" applyFont="1" applyBorder="1"/>
    <xf numFmtId="0" fontId="7" fillId="0" borderId="3" xfId="0" applyFont="1" applyBorder="1"/>
    <xf numFmtId="0" fontId="7" fillId="0" borderId="4" xfId="0" applyFont="1" applyBorder="1"/>
    <xf numFmtId="0" fontId="7" fillId="11" borderId="2" xfId="0" applyFont="1" applyFill="1" applyBorder="1"/>
    <xf numFmtId="0" fontId="7" fillId="13" borderId="2" xfId="0" applyFont="1" applyFill="1" applyBorder="1"/>
    <xf numFmtId="0" fontId="7" fillId="0" borderId="2" xfId="0" applyFont="1" applyFill="1" applyBorder="1"/>
    <xf numFmtId="0" fontId="7" fillId="0" borderId="5" xfId="0" applyFont="1" applyBorder="1"/>
    <xf numFmtId="0" fontId="7" fillId="16" borderId="2" xfId="0" applyFont="1" applyFill="1" applyBorder="1"/>
    <xf numFmtId="0" fontId="7" fillId="15" borderId="2" xfId="0" applyFont="1" applyFill="1" applyBorder="1"/>
    <xf numFmtId="14" fontId="8" fillId="2" borderId="1" xfId="0" quotePrefix="1"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1" fontId="1" fillId="0" borderId="5" xfId="0" applyNumberFormat="1" applyFont="1" applyBorder="1" applyAlignment="1">
      <alignment horizontal="center"/>
    </xf>
    <xf numFmtId="0" fontId="7" fillId="0" borderId="0" xfId="0" applyFont="1" applyAlignment="1">
      <alignment horizontal="center"/>
    </xf>
    <xf numFmtId="0" fontId="6" fillId="11" borderId="2" xfId="0" applyFont="1" applyFill="1" applyBorder="1" applyAlignment="1">
      <alignment horizontal="center"/>
    </xf>
    <xf numFmtId="0" fontId="6" fillId="13" borderId="2" xfId="0" applyFont="1" applyFill="1" applyBorder="1" applyAlignment="1">
      <alignment horizontal="center"/>
    </xf>
    <xf numFmtId="0" fontId="7" fillId="0" borderId="2" xfId="0" applyFont="1" applyBorder="1" applyAlignment="1">
      <alignment horizontal="center"/>
    </xf>
    <xf numFmtId="0" fontId="7" fillId="11" borderId="2" xfId="0"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3" fillId="4" borderId="0" xfId="0" applyFont="1" applyFill="1" applyAlignment="1"/>
    <xf numFmtId="0" fontId="3" fillId="5" borderId="0" xfId="0" applyFont="1" applyFill="1" applyAlignment="1"/>
    <xf numFmtId="0" fontId="3" fillId="7" borderId="0" xfId="0" applyFont="1" applyFill="1" applyAlignment="1"/>
    <xf numFmtId="0" fontId="3" fillId="6" borderId="0" xfId="0" applyFont="1" applyFill="1" applyAlignment="1"/>
    <xf numFmtId="0" fontId="0" fillId="17" borderId="0" xfId="0" applyFill="1"/>
    <xf numFmtId="2" fontId="0" fillId="0" borderId="0" xfId="0" applyNumberFormat="1"/>
    <xf numFmtId="2" fontId="1" fillId="0" borderId="0" xfId="0" applyNumberFormat="1" applyFont="1" applyBorder="1" applyAlignment="1">
      <alignment horizontal="center"/>
    </xf>
    <xf numFmtId="2" fontId="3" fillId="5" borderId="0" xfId="0" applyNumberFormat="1" applyFont="1" applyFill="1" applyAlignment="1"/>
    <xf numFmtId="2" fontId="2" fillId="0" borderId="2" xfId="0" applyNumberFormat="1" applyFont="1" applyBorder="1" applyAlignment="1" applyProtection="1">
      <alignment horizontal="center" vertical="top" wrapText="1"/>
      <protection locked="0"/>
    </xf>
    <xf numFmtId="2" fontId="1" fillId="12" borderId="2" xfId="0" applyNumberFormat="1" applyFont="1" applyFill="1" applyBorder="1" applyAlignment="1">
      <alignment horizontal="center"/>
    </xf>
    <xf numFmtId="2" fontId="1" fillId="14" borderId="2" xfId="0" applyNumberFormat="1" applyFont="1" applyFill="1" applyBorder="1" applyAlignment="1">
      <alignment horizontal="center"/>
    </xf>
    <xf numFmtId="2" fontId="3" fillId="7" borderId="0" xfId="0" applyNumberFormat="1" applyFont="1" applyFill="1" applyAlignment="1"/>
    <xf numFmtId="2" fontId="1" fillId="0" borderId="0" xfId="0" applyNumberFormat="1" applyFont="1" applyAlignment="1">
      <alignment horizontal="center"/>
    </xf>
    <xf numFmtId="2" fontId="3" fillId="6" borderId="0" xfId="0" applyNumberFormat="1" applyFont="1" applyFill="1" applyAlignment="1"/>
    <xf numFmtId="2" fontId="2" fillId="6" borderId="2" xfId="0" applyNumberFormat="1" applyFont="1" applyFill="1" applyBorder="1" applyAlignment="1" applyProtection="1">
      <alignment horizontal="center" vertical="top" wrapText="1"/>
      <protection locked="0"/>
    </xf>
    <xf numFmtId="2" fontId="1" fillId="16" borderId="2" xfId="0" applyNumberFormat="1" applyFont="1" applyFill="1" applyBorder="1" applyAlignment="1">
      <alignment horizontal="center"/>
    </xf>
    <xf numFmtId="2" fontId="1" fillId="15" borderId="2" xfId="0" applyNumberFormat="1" applyFont="1" applyFill="1" applyBorder="1" applyAlignment="1">
      <alignment horizontal="center"/>
    </xf>
    <xf numFmtId="0" fontId="7" fillId="0" borderId="6" xfId="0" applyFont="1" applyBorder="1"/>
    <xf numFmtId="0" fontId="1" fillId="0" borderId="6" xfId="0" applyFont="1" applyBorder="1" applyAlignment="1">
      <alignment horizontal="center"/>
    </xf>
    <xf numFmtId="14" fontId="8" fillId="2" borderId="1" xfId="0" quotePrefix="1" applyNumberFormat="1" applyFont="1" applyFill="1" applyBorder="1" applyAlignment="1">
      <alignment horizontal="center"/>
    </xf>
    <xf numFmtId="1" fontId="2" fillId="3" borderId="1" xfId="0" applyNumberFormat="1" applyFont="1" applyFill="1" applyBorder="1" applyAlignment="1">
      <alignment horizontal="center" wrapText="1"/>
    </xf>
    <xf numFmtId="0" fontId="9" fillId="2" borderId="1" xfId="0" applyFont="1" applyFill="1" applyBorder="1" applyAlignment="1">
      <alignment horizontal="center" vertical="center" wrapText="1"/>
    </xf>
    <xf numFmtId="14" fontId="8" fillId="0" borderId="1" xfId="0" quotePrefix="1" applyNumberFormat="1" applyFont="1" applyBorder="1" applyAlignment="1">
      <alignment horizontal="center"/>
    </xf>
    <xf numFmtId="0" fontId="2" fillId="0" borderId="1" xfId="0" applyFont="1" applyBorder="1" applyAlignment="1">
      <alignment horizontal="center" wrapText="1"/>
    </xf>
    <xf numFmtId="0" fontId="9" fillId="0" borderId="1" xfId="0" applyFont="1" applyBorder="1" applyAlignment="1">
      <alignment horizontal="center" vertical="center" wrapText="1"/>
    </xf>
    <xf numFmtId="14" fontId="8" fillId="2" borderId="1" xfId="0" quotePrefix="1"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1" fontId="2" fillId="2" borderId="1" xfId="0" applyNumberFormat="1" applyFont="1" applyFill="1" applyBorder="1" applyAlignment="1">
      <alignment horizontal="center" wrapText="1"/>
    </xf>
    <xf numFmtId="0" fontId="0" fillId="2" borderId="0" xfId="0" applyFill="1"/>
    <xf numFmtId="0" fontId="0" fillId="2" borderId="0" xfId="0" applyFill="1" applyAlignment="1">
      <alignment vertical="top" wrapText="1"/>
    </xf>
    <xf numFmtId="1" fontId="0" fillId="2" borderId="0" xfId="0" applyNumberFormat="1" applyFill="1"/>
  </cellXfs>
  <cellStyles count="1">
    <cellStyle name="Normal" xfId="0" builtinId="0"/>
  </cellStyles>
  <dxfs count="145">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strike val="0"/>
      </font>
    </dxf>
    <dxf>
      <font>
        <b val="0"/>
        <i val="0"/>
        <strike/>
        <condense val="0"/>
        <extend val="0"/>
        <outline val="0"/>
        <shadow val="0"/>
        <u val="none"/>
        <vertAlign val="baseline"/>
        <sz val="11"/>
        <color theme="1"/>
        <name val="Arial Narrow"/>
        <scheme val="none"/>
      </font>
      <numFmt numFmtId="1" formatCode="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0" formatCode="Genera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2" formatCode="0.0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style="hair">
          <color indexed="64"/>
        </left>
        <right/>
        <top style="hair">
          <color indexed="64"/>
        </top>
        <bottom style="hair">
          <color indexed="64"/>
        </bottom>
      </border>
    </dxf>
    <dxf>
      <border outline="0">
        <bottom style="hair">
          <color indexed="64"/>
        </bottom>
      </border>
    </dxf>
    <dxf>
      <font>
        <b val="0"/>
        <i val="0"/>
        <strike val="0"/>
        <condense val="0"/>
        <extend val="0"/>
        <outline val="0"/>
        <shadow val="0"/>
        <u val="none"/>
        <vertAlign val="baseline"/>
        <sz val="11"/>
        <color auto="1"/>
        <name val="Arial Narrow"/>
        <scheme val="none"/>
      </font>
      <fill>
        <patternFill patternType="solid">
          <fgColor indexed="64"/>
          <bgColor rgb="FFFFFF00"/>
        </patternFill>
      </fill>
      <alignment horizontal="general" vertical="top" textRotation="0" wrapText="1" indent="0" justifyLastLine="0" shrinkToFit="0" readingOrder="0"/>
      <protection locked="0" hidden="0"/>
    </dxf>
    <dxf>
      <font>
        <b val="0"/>
        <i val="0"/>
        <strike/>
        <condense val="0"/>
        <extend val="0"/>
        <outline val="0"/>
        <shadow val="0"/>
        <u val="none"/>
        <vertAlign val="baseline"/>
        <sz val="11"/>
        <color theme="1"/>
        <name val="Arial Narrow"/>
        <scheme val="none"/>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0" formatCode="General"/>
      <fill>
        <patternFill patternType="solid">
          <fgColor rgb="FFFF6600"/>
          <bgColor theme="4" tint="0.79998168889431442"/>
        </patternFill>
      </fil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fill>
        <patternFill patternType="solid">
          <fgColor rgb="FFFF6600"/>
          <bgColor theme="4" tint="0.79998168889431442"/>
        </patternFill>
      </fil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fill>
        <patternFill patternType="solid">
          <fgColor rgb="FFFF6600"/>
          <bgColor theme="4" tint="0.79998168889431442"/>
        </patternFill>
      </fil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2" formatCode="0.0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alignment horizontal="center" textRotation="0" wrapText="0" indent="0" justifyLastLine="0" shrinkToFit="0" readingOrder="0"/>
      <border diagonalUp="0" diagonalDown="0" outline="0">
        <left style="hair">
          <color indexed="64"/>
        </left>
        <right/>
        <top style="hair">
          <color indexed="64"/>
        </top>
        <bottom style="hair">
          <color indexed="64"/>
        </bottom>
      </border>
    </dxf>
    <dxf>
      <border outline="0">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Narrow"/>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Arial Narrow"/>
        <scheme val="none"/>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0" formatCode="General"/>
      <fill>
        <patternFill patternType="solid">
          <fgColor rgb="FFFF6600"/>
          <bgColor theme="0"/>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numFmt numFmtId="1" formatCode="0"/>
      <fill>
        <patternFill patternType="solid">
          <fgColor rgb="FFFF6600"/>
          <bgColor theme="0"/>
        </patternFill>
      </fill>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numFmt numFmtId="1" formatCode="0"/>
      <fill>
        <patternFill patternType="solid">
          <fgColor rgb="FFFF6600"/>
          <bgColor theme="0"/>
        </patternFill>
      </fil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2" formatCode="0.00"/>
      <fill>
        <patternFill patternType="solid">
          <fgColor rgb="FFFF6600"/>
          <bgColor theme="9" tint="0.59999389629810485"/>
        </patternFill>
      </fill>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alignment horizontal="center" textRotation="0" wrapText="0" indent="0" justifyLastLine="0" shrinkToFit="0" readingOrder="0"/>
      <border diagonalUp="0" diagonalDown="0" outline="0">
        <left style="hair">
          <color indexed="64"/>
        </left>
        <right/>
        <top style="hair">
          <color indexed="64"/>
        </top>
        <bottom style="hair">
          <color indexed="64"/>
        </bottom>
      </border>
    </dxf>
    <dxf>
      <border outline="0">
        <bottom style="hair">
          <color indexed="64"/>
        </bottom>
      </border>
    </dxf>
    <dxf>
      <font>
        <b val="0"/>
        <i val="0"/>
        <strike val="0"/>
        <condense val="0"/>
        <extend val="0"/>
        <outline val="0"/>
        <shadow val="0"/>
        <u val="none"/>
        <vertAlign val="baseline"/>
        <sz val="11"/>
        <color auto="1"/>
        <name val="Arial Narrow"/>
        <scheme val="none"/>
      </font>
      <alignment horizontal="general" vertical="top" textRotation="0" wrapText="1" indent="0" justifyLastLine="0" shrinkToFit="0" readingOrder="0"/>
      <protection locked="0" hidden="0"/>
    </dxf>
    <dxf>
      <font>
        <b val="0"/>
        <i val="0"/>
        <strike/>
        <condense val="0"/>
        <extend val="0"/>
        <outline val="0"/>
        <shadow val="0"/>
        <u val="none"/>
        <vertAlign val="baseline"/>
        <sz val="11"/>
        <color theme="1"/>
        <name val="Arial Narrow"/>
        <scheme val="none"/>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Calibri"/>
        <scheme val="minor"/>
      </font>
      <numFmt numFmtId="1" formatCode="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border diagonalUp="0" diagonalDown="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numFmt numFmtId="1" formatCode="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numFmt numFmtId="2" formatCode="0.00"/>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font>
        <b val="0"/>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border diagonalUp="0" diagonalDown="0" outline="0">
        <left/>
        <right style="hair">
          <color indexed="64"/>
        </right>
        <top style="hair">
          <color indexed="64"/>
        </top>
        <bottom style="hair">
          <color indexed="64"/>
        </bottom>
      </border>
    </dxf>
    <dxf>
      <font>
        <b/>
        <i val="0"/>
        <strike val="0"/>
        <condense val="0"/>
        <extend val="0"/>
        <outline val="0"/>
        <shadow val="0"/>
        <u val="none"/>
        <vertAlign val="baseline"/>
        <sz val="11"/>
        <color theme="1"/>
        <name val="Arial Narrow"/>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Narrow"/>
        <scheme val="none"/>
      </font>
      <fill>
        <patternFill patternType="solid">
          <fgColor indexed="64"/>
          <bgColor theme="4"/>
        </patternFill>
      </fill>
      <alignment horizontal="general" vertical="top" textRotation="0" wrapText="1" indent="0" justifyLastLine="0" shrinkToFit="0" readingOrder="0"/>
      <protection locked="0" hidden="0"/>
    </dxf>
  </dxfs>
  <tableStyles count="0" defaultTableStyle="TableStyleMedium2" defaultPivotStyle="PivotStyleLight16"/>
  <colors>
    <mruColors>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238125</xdr:colOff>
      <xdr:row>36</xdr:row>
      <xdr:rowOff>166158</xdr:rowOff>
    </xdr:from>
    <xdr:to>
      <xdr:col>20</xdr:col>
      <xdr:colOff>81492</xdr:colOff>
      <xdr:row>72</xdr:row>
      <xdr:rowOff>175683</xdr:rowOff>
    </xdr:to>
    <xdr:sp macro="" textlink="">
      <xdr:nvSpPr>
        <xdr:cNvPr id="2" name="TextBox 1"/>
        <xdr:cNvSpPr txBox="1"/>
      </xdr:nvSpPr>
      <xdr:spPr>
        <a:xfrm>
          <a:off x="6947958" y="7024158"/>
          <a:ext cx="4754034"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47625</xdr:colOff>
      <xdr:row>5</xdr:row>
      <xdr:rowOff>219075</xdr:rowOff>
    </xdr:from>
    <xdr:to>
      <xdr:col>19</xdr:col>
      <xdr:colOff>504825</xdr:colOff>
      <xdr:row>37</xdr:row>
      <xdr:rowOff>38100</xdr:rowOff>
    </xdr:to>
    <xdr:sp macro="" textlink="">
      <xdr:nvSpPr>
        <xdr:cNvPr id="2" name="TextBox 1"/>
        <xdr:cNvSpPr txBox="1"/>
      </xdr:nvSpPr>
      <xdr:spPr>
        <a:xfrm>
          <a:off x="6743700" y="1171575"/>
          <a:ext cx="4724400"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xdr:colOff>
      <xdr:row>5</xdr:row>
      <xdr:rowOff>219075</xdr:rowOff>
    </xdr:from>
    <xdr:to>
      <xdr:col>19</xdr:col>
      <xdr:colOff>504825</xdr:colOff>
      <xdr:row>37</xdr:row>
      <xdr:rowOff>38100</xdr:rowOff>
    </xdr:to>
    <xdr:sp macro="" textlink="">
      <xdr:nvSpPr>
        <xdr:cNvPr id="2" name="TextBox 1"/>
        <xdr:cNvSpPr txBox="1"/>
      </xdr:nvSpPr>
      <xdr:spPr>
        <a:xfrm>
          <a:off x="6743700" y="1171575"/>
          <a:ext cx="4724400"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79374</xdr:colOff>
      <xdr:row>5</xdr:row>
      <xdr:rowOff>346075</xdr:rowOff>
    </xdr:from>
    <xdr:to>
      <xdr:col>22</xdr:col>
      <xdr:colOff>536575</xdr:colOff>
      <xdr:row>36</xdr:row>
      <xdr:rowOff>165100</xdr:rowOff>
    </xdr:to>
    <xdr:sp macro="" textlink="">
      <xdr:nvSpPr>
        <xdr:cNvPr id="2" name="TextBox 1"/>
        <xdr:cNvSpPr txBox="1"/>
      </xdr:nvSpPr>
      <xdr:spPr>
        <a:xfrm>
          <a:off x="9244541" y="1298575"/>
          <a:ext cx="4754034"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71437</xdr:colOff>
      <xdr:row>36</xdr:row>
      <xdr:rowOff>52387</xdr:rowOff>
    </xdr:from>
    <xdr:to>
      <xdr:col>19</xdr:col>
      <xdr:colOff>528637</xdr:colOff>
      <xdr:row>68</xdr:row>
      <xdr:rowOff>61912</xdr:rowOff>
    </xdr:to>
    <xdr:sp macro="" textlink="">
      <xdr:nvSpPr>
        <xdr:cNvPr id="2" name="TextBox 1"/>
        <xdr:cNvSpPr txBox="1"/>
      </xdr:nvSpPr>
      <xdr:spPr>
        <a:xfrm>
          <a:off x="6762750" y="6910387"/>
          <a:ext cx="4707731"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(Scottish)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47625</xdr:colOff>
      <xdr:row>5</xdr:row>
      <xdr:rowOff>219075</xdr:rowOff>
    </xdr:from>
    <xdr:to>
      <xdr:col>19</xdr:col>
      <xdr:colOff>504825</xdr:colOff>
      <xdr:row>37</xdr:row>
      <xdr:rowOff>38100</xdr:rowOff>
    </xdr:to>
    <xdr:sp macro="" textlink="">
      <xdr:nvSpPr>
        <xdr:cNvPr id="2" name="TextBox 1"/>
        <xdr:cNvSpPr txBox="1"/>
      </xdr:nvSpPr>
      <xdr:spPr>
        <a:xfrm>
          <a:off x="6743700" y="1171575"/>
          <a:ext cx="4724400"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47625</xdr:colOff>
      <xdr:row>5</xdr:row>
      <xdr:rowOff>219075</xdr:rowOff>
    </xdr:from>
    <xdr:to>
      <xdr:col>19</xdr:col>
      <xdr:colOff>504825</xdr:colOff>
      <xdr:row>37</xdr:row>
      <xdr:rowOff>38100</xdr:rowOff>
    </xdr:to>
    <xdr:sp macro="" textlink="">
      <xdr:nvSpPr>
        <xdr:cNvPr id="2" name="TextBox 1"/>
        <xdr:cNvSpPr txBox="1"/>
      </xdr:nvSpPr>
      <xdr:spPr>
        <a:xfrm>
          <a:off x="6743700" y="1171575"/>
          <a:ext cx="4724400" cy="6105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47625</xdr:colOff>
      <xdr:row>5</xdr:row>
      <xdr:rowOff>219075</xdr:rowOff>
    </xdr:from>
    <xdr:to>
      <xdr:col>19</xdr:col>
      <xdr:colOff>504825</xdr:colOff>
      <xdr:row>37</xdr:row>
      <xdr:rowOff>38100</xdr:rowOff>
    </xdr:to>
    <xdr:sp macro="" textlink="">
      <xdr:nvSpPr>
        <xdr:cNvPr id="2" name="TextBox 1"/>
        <xdr:cNvSpPr txBox="1"/>
      </xdr:nvSpPr>
      <xdr:spPr>
        <a:xfrm>
          <a:off x="7362825" y="1143000"/>
          <a:ext cx="4724400" cy="575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Using the </a:t>
          </a:r>
          <a:r>
            <a:rPr lang="en-US" sz="1100" b="1">
              <a:solidFill>
                <a:schemeClr val="dk1"/>
              </a:solidFill>
              <a:effectLst/>
              <a:latin typeface="+mn-lt"/>
              <a:ea typeface="+mn-ea"/>
              <a:cs typeface="+mn-cs"/>
            </a:rPr>
            <a:t>Standard method</a:t>
          </a:r>
          <a:r>
            <a:rPr lang="en-US"/>
            <a:t>, a runner’s points are given by</a:t>
          </a:r>
          <a:br>
            <a:rPr lang="en-US"/>
          </a:br>
          <a:r>
            <a:rPr lang="en-US" sz="1100" i="1">
              <a:solidFill>
                <a:schemeClr val="dk1"/>
              </a:solidFill>
              <a:effectLst/>
              <a:latin typeface="+mn-lt"/>
              <a:ea typeface="+mn-ea"/>
              <a:cs typeface="+mn-cs"/>
            </a:rPr>
            <a:t>     1000 + 200*(Mean time – runner’s time)/standard deviation.</a:t>
          </a:r>
          <a:r>
            <a:rPr lang="en-US"/>
            <a:t/>
          </a:r>
          <a:br>
            <a:rPr lang="en-US"/>
          </a:br>
          <a:r>
            <a:rPr lang="en-US"/>
            <a:t>Mean time and standard deviation are calculated from all running times of the category. This formula is the mathematical standard for normalizing data. It is often used in sports to allow to add results which have to be measured by different units. In orienteering, a similar formula is used for the world rankings. Multi day events with a chase start should use this formula.</a:t>
          </a:r>
        </a:p>
        <a:p>
          <a:endParaRPr lang="en-US"/>
        </a:p>
        <a:p>
          <a:r>
            <a:rPr lang="en-US"/>
            <a:t>Using the </a:t>
          </a:r>
          <a:r>
            <a:rPr lang="en-US" sz="1100" b="1">
              <a:solidFill>
                <a:schemeClr val="dk1"/>
              </a:solidFill>
              <a:effectLst/>
              <a:latin typeface="+mn-lt"/>
              <a:ea typeface="+mn-ea"/>
              <a:cs typeface="+mn-cs"/>
            </a:rPr>
            <a:t>1000 points method</a:t>
          </a:r>
          <a:r>
            <a:rPr lang="en-US"/>
            <a:t>, a runner’s points are given by</a:t>
          </a:r>
          <a:br>
            <a:rPr lang="en-US"/>
          </a:br>
          <a:r>
            <a:rPr lang="en-US"/>
            <a:t>    </a:t>
          </a:r>
          <a:r>
            <a:rPr lang="en-US" sz="1100" i="1">
              <a:solidFill>
                <a:schemeClr val="dk1"/>
              </a:solidFill>
              <a:effectLst/>
              <a:latin typeface="+mn-lt"/>
              <a:ea typeface="+mn-ea"/>
              <a:cs typeface="+mn-cs"/>
            </a:rPr>
            <a:t>1000*winner’s time/runner’s time.</a:t>
          </a:r>
          <a:r>
            <a:rPr lang="en-US"/>
            <a:t/>
          </a:r>
          <a:br>
            <a:rPr lang="en-US"/>
          </a:br>
          <a:r>
            <a:rPr lang="en-US"/>
            <a:t>This formula had been used at the Scottish 6days in former times, thus it is also known as </a:t>
          </a:r>
          <a:r>
            <a:rPr lang="en-US" sz="1100">
              <a:solidFill>
                <a:schemeClr val="dk1"/>
              </a:solidFill>
              <a:effectLst/>
              <a:latin typeface="+mn-lt"/>
              <a:ea typeface="+mn-ea"/>
              <a:cs typeface="+mn-cs"/>
            </a:rPr>
            <a:t>Scottish method</a:t>
          </a:r>
          <a:r>
            <a:rPr lang="en-US"/>
            <a:t>. Of course it will determine the correct winner. However, the point score of the remaining runners depends extremely on the winning time and the terrain specific time differences. Thus the calculation of chase start times may be not objective enough.</a:t>
          </a:r>
        </a:p>
        <a:p>
          <a:endParaRPr lang="en-US"/>
        </a:p>
        <a:p>
          <a:r>
            <a:rPr lang="en-US"/>
            <a:t>Using the </a:t>
          </a:r>
          <a:r>
            <a:rPr lang="en-US" sz="1100" b="1">
              <a:solidFill>
                <a:schemeClr val="dk1"/>
              </a:solidFill>
              <a:effectLst/>
              <a:latin typeface="+mn-lt"/>
              <a:ea typeface="+mn-ea"/>
              <a:cs typeface="+mn-cs"/>
            </a:rPr>
            <a:t>Per cent method</a:t>
          </a:r>
          <a:r>
            <a:rPr lang="en-US"/>
            <a:t>, a runner’s points are given by</a:t>
          </a:r>
          <a:br>
            <a:rPr lang="en-US"/>
          </a:br>
          <a:r>
            <a:rPr lang="en-US"/>
            <a:t>    </a:t>
          </a:r>
          <a:r>
            <a:rPr lang="en-US" sz="1100" i="1">
              <a:solidFill>
                <a:schemeClr val="dk1"/>
              </a:solidFill>
              <a:effectLst/>
              <a:latin typeface="+mn-lt"/>
              <a:ea typeface="+mn-ea"/>
              <a:cs typeface="+mn-cs"/>
            </a:rPr>
            <a:t>Maximum points – (runner’s time-winner’s time)/winner’s time*100.</a:t>
          </a:r>
          <a:r>
            <a:rPr lang="en-US"/>
            <a:t/>
          </a:r>
          <a:br>
            <a:rPr lang="en-US"/>
          </a:br>
          <a:r>
            <a:rPr lang="en-US"/>
            <a:t>In other words, the point score is the maximum value minus the time difference as a percentage. A maximum value of 100 means that all runners who are more than 100% behind the leader (the doubled winning time), will get zero points.</a:t>
          </a:r>
          <a:br>
            <a:rPr lang="en-US"/>
          </a:br>
          <a:r>
            <a:rPr lang="en-US"/>
            <a:t>This method is being used for many national and regional ranking systems. It is also suitable if you are performing a chase start.</a:t>
          </a:r>
        </a:p>
        <a:p>
          <a:endParaRPr lang="en-US"/>
        </a:p>
        <a:p>
          <a:r>
            <a:rPr lang="en-US"/>
            <a:t>Using the </a:t>
          </a:r>
          <a:r>
            <a:rPr lang="en-US" sz="1100" b="1">
              <a:solidFill>
                <a:schemeClr val="dk1"/>
              </a:solidFill>
              <a:effectLst/>
              <a:latin typeface="+mn-lt"/>
              <a:ea typeface="+mn-ea"/>
              <a:cs typeface="+mn-cs"/>
            </a:rPr>
            <a:t>Danish method</a:t>
          </a:r>
          <a:r>
            <a:rPr lang="en-US"/>
            <a:t>, a runner’s points are given by</a:t>
          </a:r>
          <a:br>
            <a:rPr lang="en-US"/>
          </a:br>
          <a:r>
            <a:rPr lang="en-US"/>
            <a:t>    </a:t>
          </a:r>
          <a:r>
            <a:rPr lang="en-US" sz="1100" i="1">
              <a:solidFill>
                <a:schemeClr val="dk1"/>
              </a:solidFill>
              <a:effectLst/>
              <a:latin typeface="+mn-lt"/>
              <a:ea typeface="+mn-ea"/>
              <a:cs typeface="+mn-cs"/>
            </a:rPr>
            <a:t>Maximum points – difference to the winner in full minutes.</a:t>
          </a:r>
          <a:r>
            <a:rPr lang="en-US"/>
            <a:t/>
          </a:r>
          <a:br>
            <a:rPr lang="en-US"/>
          </a:br>
          <a:r>
            <a:rPr lang="en-US"/>
            <a:t>Only full minutes count for the difference. That means that all runners within the same difference minute will get the same points. Especially, all runners within less than one minute will get the maximum points like the winner.</a:t>
          </a:r>
          <a:br>
            <a:rPr lang="en-US"/>
          </a:br>
          <a:r>
            <a:rPr lang="en-US"/>
            <a:t>This method comes from Denmark.</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POW%20Handicaps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own"/>
      <sheetName val="Blue"/>
      <sheetName val="Green"/>
      <sheetName val="LtGreen"/>
      <sheetName val="Orange"/>
      <sheetName val="Yellow"/>
      <sheetName val="class data"/>
    </sheetNames>
    <sheetDataSet>
      <sheetData sheetId="0" refreshError="1"/>
      <sheetData sheetId="1" refreshError="1"/>
      <sheetData sheetId="2" refreshError="1"/>
      <sheetData sheetId="3" refreshError="1"/>
      <sheetData sheetId="4" refreshError="1"/>
      <sheetData sheetId="5" refreshError="1"/>
      <sheetData sheetId="6" refreshError="1">
        <row r="1">
          <cell r="D1" t="str">
            <v>M10</v>
          </cell>
          <cell r="E1">
            <v>0.6</v>
          </cell>
        </row>
        <row r="2">
          <cell r="D2" t="str">
            <v>M12</v>
          </cell>
          <cell r="E2">
            <v>0.7</v>
          </cell>
        </row>
        <row r="3">
          <cell r="D3" t="str">
            <v>M14</v>
          </cell>
          <cell r="E3">
            <v>0.8</v>
          </cell>
        </row>
        <row r="4">
          <cell r="D4" t="str">
            <v>M16</v>
          </cell>
          <cell r="E4">
            <v>0.84</v>
          </cell>
        </row>
        <row r="5">
          <cell r="D5" t="str">
            <v>M18</v>
          </cell>
          <cell r="E5">
            <v>0.88</v>
          </cell>
        </row>
        <row r="6">
          <cell r="D6" t="str">
            <v>M20</v>
          </cell>
          <cell r="E6">
            <v>0.93</v>
          </cell>
        </row>
        <row r="7">
          <cell r="D7" t="str">
            <v>M21</v>
          </cell>
          <cell r="E7">
            <v>1</v>
          </cell>
        </row>
        <row r="8">
          <cell r="D8" t="str">
            <v>M35</v>
          </cell>
          <cell r="E8">
            <v>0.93</v>
          </cell>
        </row>
        <row r="9">
          <cell r="D9" t="str">
            <v>M40</v>
          </cell>
          <cell r="E9">
            <v>0.89</v>
          </cell>
        </row>
        <row r="10">
          <cell r="D10" t="str">
            <v>M45</v>
          </cell>
          <cell r="E10">
            <v>0.84</v>
          </cell>
        </row>
        <row r="11">
          <cell r="D11" t="str">
            <v>M50</v>
          </cell>
          <cell r="E11">
            <v>0.79</v>
          </cell>
        </row>
        <row r="12">
          <cell r="D12" t="str">
            <v>M55</v>
          </cell>
          <cell r="E12">
            <v>0.74</v>
          </cell>
        </row>
        <row r="13">
          <cell r="D13" t="str">
            <v>M60</v>
          </cell>
          <cell r="E13">
            <v>0.68</v>
          </cell>
        </row>
        <row r="14">
          <cell r="D14" t="str">
            <v>M65</v>
          </cell>
          <cell r="E14">
            <v>0.6</v>
          </cell>
        </row>
        <row r="15">
          <cell r="D15" t="str">
            <v>M70</v>
          </cell>
          <cell r="E15">
            <v>0.53</v>
          </cell>
        </row>
        <row r="16">
          <cell r="D16" t="str">
            <v>M75</v>
          </cell>
          <cell r="E16">
            <v>0.46</v>
          </cell>
        </row>
        <row r="17">
          <cell r="D17" t="str">
            <v>W10</v>
          </cell>
          <cell r="E17">
            <v>0.6</v>
          </cell>
        </row>
        <row r="18">
          <cell r="D18" t="str">
            <v>W12</v>
          </cell>
          <cell r="E18">
            <v>0.62</v>
          </cell>
        </row>
        <row r="19">
          <cell r="D19" t="str">
            <v>W14</v>
          </cell>
          <cell r="E19">
            <v>0.65</v>
          </cell>
        </row>
        <row r="20">
          <cell r="D20" t="str">
            <v>W16</v>
          </cell>
          <cell r="E20">
            <v>0.67</v>
          </cell>
        </row>
        <row r="21">
          <cell r="D21" t="str">
            <v>W18</v>
          </cell>
          <cell r="E21">
            <v>0.7</v>
          </cell>
        </row>
        <row r="22">
          <cell r="D22" t="str">
            <v>W20</v>
          </cell>
          <cell r="E22">
            <v>0.71</v>
          </cell>
        </row>
        <row r="23">
          <cell r="D23" t="str">
            <v>W21</v>
          </cell>
          <cell r="E23">
            <v>0.8</v>
          </cell>
        </row>
        <row r="24">
          <cell r="D24" t="str">
            <v>W35</v>
          </cell>
          <cell r="E24">
            <v>0.71</v>
          </cell>
        </row>
        <row r="25">
          <cell r="D25" t="str">
            <v>W40</v>
          </cell>
          <cell r="E25">
            <v>0.67</v>
          </cell>
        </row>
        <row r="26">
          <cell r="D26" t="str">
            <v>W45</v>
          </cell>
          <cell r="E26">
            <v>0.62</v>
          </cell>
        </row>
        <row r="27">
          <cell r="D27" t="str">
            <v>W50</v>
          </cell>
          <cell r="E27">
            <v>0.56999999999999995</v>
          </cell>
        </row>
        <row r="28">
          <cell r="D28" t="str">
            <v>W55</v>
          </cell>
          <cell r="E28">
            <v>0.53</v>
          </cell>
        </row>
        <row r="29">
          <cell r="D29" t="str">
            <v>W60</v>
          </cell>
          <cell r="E29">
            <v>0.48</v>
          </cell>
        </row>
        <row r="30">
          <cell r="D30" t="str">
            <v>W65</v>
          </cell>
          <cell r="E30">
            <v>0.44</v>
          </cell>
        </row>
        <row r="31">
          <cell r="D31" t="str">
            <v>W70</v>
          </cell>
          <cell r="E31">
            <v>0.39</v>
          </cell>
        </row>
        <row r="32">
          <cell r="D32" t="str">
            <v>W75</v>
          </cell>
          <cell r="E32">
            <v>0.35</v>
          </cell>
        </row>
      </sheetData>
    </sheetDataSet>
  </externalBook>
</externalLink>
</file>

<file path=xl/tables/table1.xml><?xml version="1.0" encoding="utf-8"?>
<table xmlns="http://schemas.openxmlformats.org/spreadsheetml/2006/main" id="1" name="Table1" displayName="Table1" ref="A5:Q28" totalsRowShown="0" headerRowDxfId="144">
  <autoFilter ref="A5:Q28"/>
  <sortState ref="A6:Q28">
    <sortCondition ref="A5:A28"/>
  </sortState>
  <tableColumns count="17">
    <tableColumn id="1" name="Rank" dataDxfId="143">
      <calculatedColumnFormula>_xlfn.RANK.EQ(F6,$F$6:$F$28,0)</calculatedColumnFormula>
    </tableColumn>
    <tableColumn id="2" name="Name" dataDxfId="142"/>
    <tableColumn id="3" name="Class" dataDxfId="141"/>
    <tableColumn id="4" name="Plan" dataDxfId="140"/>
    <tableColumn id="5" name="Hcap" dataDxfId="139">
      <calculatedColumnFormula>VLOOKUP(C6,Lookups!$E$2:$F$47,2,FALSE)</calculatedColumnFormula>
    </tableColumn>
    <tableColumn id="6" name="Total" dataDxfId="138">
      <calculatedColumnFormula>IFERROR((G6+H6),G6)</calculatedColumnFormula>
    </tableColumn>
    <tableColumn id="7" name="Score" dataDxfId="137">
      <calculatedColumnFormula>IF(COUNT(J6:Q6)&lt;5,SUM(J6:Q6),LARGE(J6:Q6,1)+LARGE(J6:Q6,2)+LARGE(J6:Q6,3)+LARGE(J6:Q6,4)+LARGE(J6:Q6,5))</calculatedColumnFormula>
    </tableColumn>
    <tableColumn id="8" name="Planning" dataDxfId="136">
      <calculatedColumnFormula>IFERROR((IF(COUNT(J6:Q6)&gt;4,"",IF(D6="Y",AVERAGE(J6:Q6),""))),"")</calculatedColumnFormula>
    </tableColumn>
    <tableColumn id="9" name="Events" dataDxfId="135">
      <calculatedColumnFormula>COUNT(J6:Q6)</calculatedColumnFormula>
    </tableColumn>
    <tableColumn id="10" name="Teifi" dataDxfId="134">
      <calculatedColumnFormula>VLOOKUP(Table1[[#This Row],[Name]],Teifi!$AV$7:$BF$34,11,FALSE)</calculatedColumnFormula>
    </tableColumn>
    <tableColumn id="11" name="Hafren" dataDxfId="133">
      <calculatedColumnFormula>VLOOKUP(Table1[[#This Row],[Name]],Hafren!$B$7:$K$34,8,FALSE)</calculatedColumnFormula>
    </tableColumn>
    <tableColumn id="12" name="Carneddau" dataDxfId="132">
      <calculatedColumnFormula>VLOOKUP(Table1[[#This Row],[Name]],Carneddau!$B$7:$K$34,8,FALSE)</calculatedColumnFormula>
    </tableColumn>
    <tableColumn id="13" name="Foel_Goch" dataDxfId="131">
      <calculatedColumnFormula>VLOOKUP(Table1[[#This Row],[Name]],Foel_Goch!$B$7:$K$33,8,FALSE)</calculatedColumnFormula>
    </tableColumn>
    <tableColumn id="14" name="Gwanas" dataDxfId="130">
      <calculatedColumnFormula>VLOOKUP(Table1[[#This Row],[Name]],Gwanas!$Z$7:$AJ$34,11,FALSE)</calculatedColumnFormula>
    </tableColumn>
    <tableColumn id="15" name="Maenarthur" dataDxfId="129">
      <calculatedColumnFormula>VLOOKUP(Table1[[#This Row],[Name]],Maenarthur!$B$7:$K$34,8,FALSE)</calculatedColumnFormula>
    </tableColumn>
    <tableColumn id="16" name="Allt_Goch" dataDxfId="128">
      <calculatedColumnFormula>VLOOKUP(Table1[[#This Row],[Name]],Allt_Goch!$B$7:$K$34,8,FALSE)</calculatedColumnFormula>
    </tableColumn>
    <tableColumn id="17" name="Mathrafal" dataDxfId="127">
      <calculatedColumnFormula>VLOOKUP(Table1[[#This Row],[Name]],Mathrafal!$B$7:$K$34,8,FALSE)</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2" name="Table3" displayName="Table3" ref="A31:Q54" totalsRowShown="0" headerRowDxfId="126" tableBorderDxfId="125">
  <sortState ref="A32:Q54">
    <sortCondition ref="A31:A54"/>
  </sortState>
  <tableColumns count="17">
    <tableColumn id="1" name="Rank" dataDxfId="124">
      <calculatedColumnFormula>_xlfn.RANK.EQ(F32,$F$32:$F$54,0)</calculatedColumnFormula>
    </tableColumn>
    <tableColumn id="2" name="Name" dataDxfId="123"/>
    <tableColumn id="3" name="Class" dataDxfId="122"/>
    <tableColumn id="4" name="Plan" dataDxfId="121"/>
    <tableColumn id="5" name="Hcap" dataDxfId="120">
      <calculatedColumnFormula>VLOOKUP(C32,Lookups!$E$2:$F$47,2,FALSE)</calculatedColumnFormula>
    </tableColumn>
    <tableColumn id="6" name="Total" dataDxfId="119">
      <calculatedColumnFormula>IFERROR((G32+H32),G32)</calculatedColumnFormula>
    </tableColumn>
    <tableColumn id="7" name="Score" dataDxfId="118">
      <calculatedColumnFormula>IF(COUNT(J32:Q32)&lt;5,SUM(J32:Q32),LARGE(J32:Q32,1)+LARGE(J32:Q32,2)+LARGE(J32:Q32,3)+LARGE(J32:Q32,4)+LARGE(J32:Q32,5))</calculatedColumnFormula>
    </tableColumn>
    <tableColumn id="8" name="Planning" dataDxfId="117">
      <calculatedColumnFormula>IFERROR((IF(COUNT(J32:Q32)&gt;4,"",IF(D32="Y",AVERAGE(J32:Q32),""))),"")</calculatedColumnFormula>
    </tableColumn>
    <tableColumn id="9" name="Events" dataDxfId="116">
      <calculatedColumnFormula>COUNT(J32:Q32)</calculatedColumnFormula>
    </tableColumn>
    <tableColumn id="10" name="Teifi" dataDxfId="115">
      <calculatedColumnFormula>VLOOKUP(Table3[[#This Row],[Name]],Teifi!$B$38:$K$60,8,FALSE)</calculatedColumnFormula>
    </tableColumn>
    <tableColumn id="11" name="Hafren" dataDxfId="114">
      <calculatedColumnFormula>VLOOKUP(Table3[[#This Row],[Name]],Hafren!$B$38:$K$61,8,FALSE)</calculatedColumnFormula>
    </tableColumn>
    <tableColumn id="12" name="Carneddau" dataDxfId="113">
      <calculatedColumnFormula>VLOOKUP(Table3[[#This Row],[Name]],Carneddau!$B$38:$K$60,8,FALSE)</calculatedColumnFormula>
    </tableColumn>
    <tableColumn id="13" name="Foel_Goch" dataDxfId="112">
      <calculatedColumnFormula>VLOOKUP(Table3[[#This Row],[Name]],Foel_Goch!$B$37:$K$60,8,FALSE)</calculatedColumnFormula>
    </tableColumn>
    <tableColumn id="14" name="Gwanas" dataDxfId="111">
      <calculatedColumnFormula>VLOOKUP(Table3[[#This Row],[Name]],Gwanas!$B$38:$K$62,8,FALSE)</calculatedColumnFormula>
    </tableColumn>
    <tableColumn id="15" name="Maenarthur" dataDxfId="110">
      <calculatedColumnFormula>VLOOKUP(Table3[[#This Row],[Name]],Maenarthur!$B$38:$K$62,8,FALSE)</calculatedColumnFormula>
    </tableColumn>
    <tableColumn id="16" name="Allt_Goch" dataDxfId="109">
      <calculatedColumnFormula>VLOOKUP(Table3[[#This Row],[Name]],Allt_Goch!$B$38:$K$62,8,FALSE)</calculatedColumnFormula>
    </tableColumn>
    <tableColumn id="17" name="Mathrafal" dataDxfId="108">
      <calculatedColumnFormula>VLOOKUP(Table3[[#This Row],[Name]],Mathrafal!$B$38:$K$61,8,FALSE)</calculatedColumnFormula>
    </tableColumn>
  </tableColumns>
  <tableStyleInfo name="TableStyleMedium14" showFirstColumn="0" showLastColumn="0" showRowStripes="1" showColumnStripes="0"/>
</table>
</file>

<file path=xl/tables/table3.xml><?xml version="1.0" encoding="utf-8"?>
<table xmlns="http://schemas.openxmlformats.org/spreadsheetml/2006/main" id="3" name="Table4" displayName="Table4" ref="A57:Q72" totalsRowShown="0" headerRowDxfId="107" dataDxfId="106" tableBorderDxfId="105">
  <sortState ref="A55:Q69">
    <sortCondition ref="A54:A69"/>
  </sortState>
  <tableColumns count="17">
    <tableColumn id="1" name="Rank" dataDxfId="104">
      <calculatedColumnFormula>_xlfn.RANK.EQ(F58,$F$58:$F$72,0)</calculatedColumnFormula>
    </tableColumn>
    <tableColumn id="2" name="Name" dataDxfId="103"/>
    <tableColumn id="3" name="Class" dataDxfId="102"/>
    <tableColumn id="4" name="Plan" dataDxfId="101"/>
    <tableColumn id="5" name="Hcap" dataDxfId="100"/>
    <tableColumn id="6" name="Total" dataDxfId="99">
      <calculatedColumnFormula>IFERROR((G58+H58),G58)</calculatedColumnFormula>
    </tableColumn>
    <tableColumn id="7" name="Score" dataDxfId="98">
      <calculatedColumnFormula>IF(COUNT(J58:Q58)&lt;5,SUM(J58:Q58),LARGE(J58:Q58,1)+LARGE(J58:Q58,2)+LARGE(J58:Q58,3)+LARGE(J58:Q58,4)+LARGE(J58:Q58,5))</calculatedColumnFormula>
    </tableColumn>
    <tableColumn id="8" name="Planning" dataDxfId="97"/>
    <tableColumn id="9" name="Events" dataDxfId="96">
      <calculatedColumnFormula>COUNT(J58:Q58)</calculatedColumnFormula>
    </tableColumn>
    <tableColumn id="10" name="Teifi" dataDxfId="95">
      <calculatedColumnFormula>VLOOKUP(Table4[[#This Row],[Name]],Teifi!$B$64:$K$80,8,FALSE)</calculatedColumnFormula>
    </tableColumn>
    <tableColumn id="11" name="Hafren" dataDxfId="94">
      <calculatedColumnFormula>VLOOKUP(Table4[[#This Row],[Name]],Hafren!$B$65:$K$82,8,FALSE)</calculatedColumnFormula>
    </tableColumn>
    <tableColumn id="12" name="Carneddau" dataDxfId="93">
      <calculatedColumnFormula>VLOOKUP(Table4[[#This Row],[Name]],Carneddau!$B$64:$K$82,8,FALSE)</calculatedColumnFormula>
    </tableColumn>
    <tableColumn id="13" name="Foel_Goch" dataDxfId="92">
      <calculatedColumnFormula>VLOOKUP(Table4[[#This Row],[Name]],Foel_Goch!$B$64:$K$81,8,FALSE)</calculatedColumnFormula>
    </tableColumn>
    <tableColumn id="14" name="Gwanas" dataDxfId="91">
      <calculatedColumnFormula>VLOOKUP(Table4[[#This Row],[Name]],Gwanas!$B$66:$K$85,8,FALSE)</calculatedColumnFormula>
    </tableColumn>
    <tableColumn id="15" name="Maenarthur" dataDxfId="90">
      <calculatedColumnFormula>VLOOKUP(Table4[[#This Row],[Name]],Maenarthur!$B$66:$K$85,8,FALSE)</calculatedColumnFormula>
    </tableColumn>
    <tableColumn id="16" name="Allt_Goch" dataDxfId="89">
      <calculatedColumnFormula>VLOOKUP(Table4[[#This Row],[Name]],Allt_Goch!$B$66:$K$86,8,FALSE)</calculatedColumnFormula>
    </tableColumn>
    <tableColumn id="17" name="Mathrafal" dataDxfId="88">
      <calculatedColumnFormula>VLOOKUP(Table4[[#This Row],[Name]],Mathrafal!$B$65:$K$86,8,FALSE)</calculatedColumnFormula>
    </tableColumn>
  </tableColumns>
  <tableStyleInfo name="TableStyleMedium12" showFirstColumn="0" showLastColumn="0" showRowStripes="1" showColumnStripes="0"/>
</table>
</file>

<file path=xl/tables/table4.xml><?xml version="1.0" encoding="utf-8"?>
<table xmlns="http://schemas.openxmlformats.org/spreadsheetml/2006/main" id="4" name="Table5" displayName="Table5" ref="A75:Q82" totalsRowShown="0" headerRowDxfId="87" tableBorderDxfId="86">
  <sortState ref="A73:Q79">
    <sortCondition ref="A72:A79"/>
  </sortState>
  <tableColumns count="17">
    <tableColumn id="1" name="Rank" dataDxfId="85">
      <calculatedColumnFormula>_xlfn.RANK.EQ(F76,$F$76:$F$82,0)</calculatedColumnFormula>
    </tableColumn>
    <tableColumn id="2" name="Name" dataDxfId="84"/>
    <tableColumn id="3" name="Class" dataDxfId="83"/>
    <tableColumn id="4" name="Plan" dataDxfId="82"/>
    <tableColumn id="5" name="Hcap" dataDxfId="81">
      <calculatedColumnFormula>VLOOKUP(C76,Lookups!$E$2:$F$47,2,FALSE)</calculatedColumnFormula>
    </tableColumn>
    <tableColumn id="6" name="Total" dataDxfId="80">
      <calculatedColumnFormula>IFERROR((G76+H76),G76)</calculatedColumnFormula>
    </tableColumn>
    <tableColumn id="7" name="Score" dataDxfId="79">
      <calculatedColumnFormula>IF(COUNT(J76:Q76)&lt;5,SUM(J76:Q76),LARGE(J76:Q76,1)+LARGE(J76:Q76,2)+LARGE(J76:Q76,3)+LARGE(J76:Q76,4)+LARGE(J76:Q76,5))</calculatedColumnFormula>
    </tableColumn>
    <tableColumn id="8" name="Planning" dataDxfId="78">
      <calculatedColumnFormula>IFERROR((IF(COUNT(J76:Q76)&gt;4,"",IF(D76="Y",AVERAGE(J76:Q76),""))),"")</calculatedColumnFormula>
    </tableColumn>
    <tableColumn id="9" name="Events" dataDxfId="77">
      <calculatedColumnFormula>COUNT(J76:Q76)</calculatedColumnFormula>
    </tableColumn>
    <tableColumn id="10" name="Teifi" dataDxfId="76">
      <calculatedColumnFormula>VLOOKUP(Table5[[#This Row],[Name]],Teifi!$B$84:$K$96,8,FALSE)</calculatedColumnFormula>
    </tableColumn>
    <tableColumn id="11" name="Hafren" dataDxfId="75">
      <calculatedColumnFormula>VLOOKUP(Table5[[#This Row],[Name]],Hafren!$B$86:$K$97,8,FALSE)</calculatedColumnFormula>
    </tableColumn>
    <tableColumn id="12" name="Carneddau" dataDxfId="74">
      <calculatedColumnFormula>VLOOKUP(Table5[[#This Row],[Name]],Carneddau!$B$86:$K$99,8,FALSE)</calculatedColumnFormula>
    </tableColumn>
    <tableColumn id="13" name="Foel_Goch" dataDxfId="73">
      <calculatedColumnFormula>VLOOKUP(Table5[[#This Row],[Name]],Foel_Goch!$B$85:$K$98,8,FALSE)</calculatedColumnFormula>
    </tableColumn>
    <tableColumn id="14" name="Gwanas" dataDxfId="72">
      <calculatedColumnFormula>VLOOKUP(Table5[[#This Row],[Name]],Gwanas!$B$89:$K$102,8,FALSE)</calculatedColumnFormula>
    </tableColumn>
    <tableColumn id="15" name="Maenarthur" dataDxfId="71">
      <calculatedColumnFormula>VLOOKUP(Table5[[#This Row],[Name]],Maenarthur!$B$89:$K$102,8,FALSE)</calculatedColumnFormula>
    </tableColumn>
    <tableColumn id="16" name="Allt_Goch" dataDxfId="70">
      <calculatedColumnFormula>VLOOKUP(Table5[[#This Row],[Name]],Allt_Goch!$B$90:$K$103,8,FALSE)</calculatedColumnFormula>
    </tableColumn>
    <tableColumn id="17" name="Mathrafal" dataDxfId="69">
      <calculatedColumnFormula>VLOOKUP(Table5[[#This Row],[Name]],Mathrafal!$B$90:$K$103,8,FALSE)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82"/>
  <sheetViews>
    <sheetView tabSelected="1" zoomScale="110" zoomScaleNormal="110" workbookViewId="0"/>
  </sheetViews>
  <sheetFormatPr defaultRowHeight="16.5" x14ac:dyDescent="0.3"/>
  <cols>
    <col min="1" max="1" width="5.28515625" style="1" customWidth="1"/>
    <col min="2" max="2" width="19.28515625" style="2" customWidth="1"/>
    <col min="3" max="3" width="6.85546875" style="1" customWidth="1"/>
    <col min="4" max="4" width="5.5703125" style="1" customWidth="1"/>
    <col min="5" max="5" width="7.5703125" style="1" customWidth="1"/>
    <col min="6" max="6" width="8.5703125" style="1" customWidth="1"/>
    <col min="7" max="7" width="7" style="1" customWidth="1"/>
    <col min="8" max="8" width="8" style="1" customWidth="1"/>
    <col min="9" max="9" width="7.28515625" style="3" customWidth="1"/>
    <col min="10" max="12" width="10.85546875" style="1" customWidth="1"/>
    <col min="13" max="13" width="10.85546875" style="2" customWidth="1"/>
    <col min="14" max="14" width="10.85546875" style="3" customWidth="1"/>
    <col min="15" max="15" width="10.85546875" style="1" customWidth="1"/>
    <col min="16" max="16" width="10.85546875" style="2" customWidth="1"/>
    <col min="17" max="17" width="10.85546875" style="4" customWidth="1"/>
    <col min="18" max="18" width="10.7109375" style="5" bestFit="1" customWidth="1"/>
    <col min="19" max="16384" width="9.140625" style="5"/>
  </cols>
  <sheetData>
    <row r="1" spans="1:25" ht="14.45" customHeight="1" x14ac:dyDescent="0.3">
      <c r="B1" s="87" t="s">
        <v>123</v>
      </c>
      <c r="C1" s="122" t="s">
        <v>101</v>
      </c>
      <c r="D1" s="122"/>
      <c r="E1" s="122"/>
      <c r="F1" s="119" t="s">
        <v>145</v>
      </c>
      <c r="G1" s="119"/>
      <c r="H1" s="122" t="s">
        <v>100</v>
      </c>
      <c r="I1" s="122"/>
      <c r="J1" s="119" t="s">
        <v>99</v>
      </c>
      <c r="K1" s="119"/>
      <c r="L1" s="119" t="s">
        <v>98</v>
      </c>
      <c r="M1" s="119"/>
      <c r="N1" s="119" t="s">
        <v>126</v>
      </c>
      <c r="O1" s="119"/>
      <c r="P1" s="122" t="s">
        <v>127</v>
      </c>
      <c r="Q1" s="122"/>
    </row>
    <row r="2" spans="1:25" ht="14.45" customHeight="1" x14ac:dyDescent="0.3">
      <c r="B2" s="6" t="s">
        <v>148</v>
      </c>
      <c r="C2" s="118" t="s">
        <v>0</v>
      </c>
      <c r="D2" s="118"/>
      <c r="E2" s="118"/>
      <c r="F2" s="125" t="s">
        <v>1</v>
      </c>
      <c r="G2" s="125"/>
      <c r="H2" s="126" t="s">
        <v>4</v>
      </c>
      <c r="I2" s="126"/>
      <c r="J2" s="125" t="s">
        <v>3</v>
      </c>
      <c r="K2" s="125"/>
      <c r="L2" s="118" t="s">
        <v>32</v>
      </c>
      <c r="M2" s="118"/>
      <c r="N2" s="124" t="s">
        <v>1</v>
      </c>
      <c r="O2" s="124"/>
      <c r="P2" s="121" t="s">
        <v>25</v>
      </c>
      <c r="Q2" s="121"/>
    </row>
    <row r="3" spans="1:25" ht="14.45" customHeight="1" x14ac:dyDescent="0.3">
      <c r="B3" s="86" t="s">
        <v>137</v>
      </c>
      <c r="C3" s="123" t="s">
        <v>138</v>
      </c>
      <c r="D3" s="123"/>
      <c r="E3" s="123"/>
      <c r="F3" s="117" t="s">
        <v>139</v>
      </c>
      <c r="G3" s="117"/>
      <c r="H3" s="117" t="s">
        <v>140</v>
      </c>
      <c r="I3" s="117"/>
      <c r="J3" s="117" t="s">
        <v>141</v>
      </c>
      <c r="K3" s="117"/>
      <c r="L3" s="117" t="s">
        <v>142</v>
      </c>
      <c r="M3" s="117"/>
      <c r="N3" s="123" t="s">
        <v>143</v>
      </c>
      <c r="O3" s="123"/>
      <c r="P3" s="120" t="s">
        <v>144</v>
      </c>
      <c r="Q3" s="120"/>
    </row>
    <row r="4" spans="1:25" ht="14.45" customHeight="1" x14ac:dyDescent="0.3">
      <c r="A4" s="98"/>
      <c r="B4" s="98"/>
      <c r="C4" s="98"/>
      <c r="D4" s="98"/>
      <c r="E4" s="98"/>
      <c r="F4" s="98"/>
      <c r="G4" s="98"/>
      <c r="H4" s="98"/>
      <c r="I4" s="98"/>
      <c r="J4" s="98" t="s">
        <v>7</v>
      </c>
      <c r="K4" s="98"/>
      <c r="L4" s="98"/>
      <c r="M4" s="98"/>
      <c r="N4" s="98"/>
      <c r="O4" s="98"/>
      <c r="P4" s="98"/>
      <c r="Q4" s="98"/>
    </row>
    <row r="5" spans="1:25" ht="14.45" customHeight="1" x14ac:dyDescent="0.25">
      <c r="A5" s="73" t="s">
        <v>8</v>
      </c>
      <c r="B5" s="74" t="s">
        <v>9</v>
      </c>
      <c r="C5" s="74" t="s">
        <v>10</v>
      </c>
      <c r="D5" s="74" t="s">
        <v>11</v>
      </c>
      <c r="E5" s="74" t="s">
        <v>146</v>
      </c>
      <c r="F5" s="74" t="s">
        <v>13</v>
      </c>
      <c r="G5" s="74" t="s">
        <v>147</v>
      </c>
      <c r="H5" s="74" t="s">
        <v>14</v>
      </c>
      <c r="I5" s="75" t="s">
        <v>15</v>
      </c>
      <c r="J5" s="73" t="s">
        <v>123</v>
      </c>
      <c r="K5" s="73" t="s">
        <v>101</v>
      </c>
      <c r="L5" s="73" t="s">
        <v>145</v>
      </c>
      <c r="M5" s="73" t="s">
        <v>128</v>
      </c>
      <c r="N5" s="76" t="s">
        <v>99</v>
      </c>
      <c r="O5" s="73" t="s">
        <v>98</v>
      </c>
      <c r="P5" s="73" t="s">
        <v>129</v>
      </c>
      <c r="Q5" s="73" t="s">
        <v>127</v>
      </c>
      <c r="Y5"/>
    </row>
    <row r="6" spans="1:25" ht="15" customHeight="1" x14ac:dyDescent="0.3">
      <c r="A6" s="91">
        <f>_xlfn.RANK.EQ(F6,$F$6:$F$28,0)</f>
        <v>1</v>
      </c>
      <c r="B6" s="77" t="s">
        <v>20</v>
      </c>
      <c r="C6" s="7" t="s">
        <v>21</v>
      </c>
      <c r="D6" s="7" t="s">
        <v>22</v>
      </c>
      <c r="E6" s="88">
        <f>VLOOKUP(C6,Lookups!$E$2:$F$47,2,FALSE)</f>
        <v>0.84</v>
      </c>
      <c r="F6" s="8">
        <f>IFERROR((G6+H6),G6)</f>
        <v>4964.3276762402093</v>
      </c>
      <c r="G6" s="8">
        <f>IF(COUNT(J6:Q6)&lt;5,SUM(J6:Q6),LARGE(J6:Q6,1)+LARGE(J6:Q6,2)+LARGE(J6:Q6,3)+LARGE(J6:Q6,4)+LARGE(J6:Q6,5))</f>
        <v>4964.3276762402093</v>
      </c>
      <c r="H6" s="8" t="str">
        <f>IFERROR((IF(COUNT(J6:Q6)&gt;4,"",IF(D6="Y",AVERAGE(J6:Q6),""))),"")</f>
        <v/>
      </c>
      <c r="I6" s="8">
        <f>COUNT(J6:Q6)</f>
        <v>7</v>
      </c>
      <c r="J6" s="9">
        <f>VLOOKUP(Table1[[#This Row],[Name]],Teifi!$AV$7:$BF$34,11,FALSE)</f>
        <v>1000.0000000000001</v>
      </c>
      <c r="K6" s="9">
        <f>VLOOKUP(Table1[[#This Row],[Name]],Hafren!$B$7:$K$34,8,FALSE)</f>
        <v>1000</v>
      </c>
      <c r="L6" s="9" t="str">
        <f>VLOOKUP(Table1[[#This Row],[Name]],Carneddau!$B$7:$K$34,8,FALSE)</f>
        <v/>
      </c>
      <c r="M6" s="9">
        <f>VLOOKUP(Table1[[#This Row],[Name]],Foel_Goch!$B$7:$K$33,8,FALSE)</f>
        <v>867.05521472392638</v>
      </c>
      <c r="N6" s="9">
        <f>VLOOKUP(Table1[[#This Row],[Name]],Gwanas!$Z$7:$AJ$34,11,FALSE)</f>
        <v>1000</v>
      </c>
      <c r="O6" s="9">
        <f>VLOOKUP(Table1[[#This Row],[Name]],Maenarthur!$B$7:$K$34,8,FALSE)</f>
        <v>1000.0000000000001</v>
      </c>
      <c r="P6" s="9">
        <f>VLOOKUP(Table1[[#This Row],[Name]],Allt_Goch!$B$7:$K$34,8,FALSE)</f>
        <v>922.69927284516677</v>
      </c>
      <c r="Q6" s="32">
        <f>VLOOKUP(Table1[[#This Row],[Name]],Mathrafal!$B$7:$K$34,8,FALSE)</f>
        <v>964.3276762402088</v>
      </c>
    </row>
    <row r="7" spans="1:25" ht="15" customHeight="1" x14ac:dyDescent="0.3">
      <c r="A7" s="91">
        <f>_xlfn.RANK.EQ(F7,$F$6:$F$28,0)</f>
        <v>2</v>
      </c>
      <c r="B7" s="77" t="s">
        <v>3</v>
      </c>
      <c r="C7" s="7" t="s">
        <v>19</v>
      </c>
      <c r="D7" s="7" t="s">
        <v>18</v>
      </c>
      <c r="E7" s="88">
        <f>VLOOKUP(C7,Lookups!$E$2:$F$47,2,FALSE)</f>
        <v>0.63</v>
      </c>
      <c r="F7" s="8">
        <f>IFERROR((G7+H7),G7)</f>
        <v>4887.3461281405744</v>
      </c>
      <c r="G7" s="8">
        <f>IF(COUNT(J7:Q7)&lt;5,SUM(J7:Q7),LARGE(J7:Q7,1)+LARGE(J7:Q7,2)+LARGE(J7:Q7,3)+LARGE(J7:Q7,4)+LARGE(J7:Q7,5))</f>
        <v>4887.3461281405744</v>
      </c>
      <c r="H7" s="8" t="str">
        <f>IFERROR((IF(COUNT(J7:Q7)&gt;4,"",IF(D7="Y",AVERAGE(J7:Q7),""))),"")</f>
        <v/>
      </c>
      <c r="I7" s="8">
        <f>COUNT(J7:Q7)</f>
        <v>6</v>
      </c>
      <c r="J7" s="9">
        <f>VLOOKUP(Table1[[#This Row],[Name]],Teifi!$AV$7:$BF$34,11,FALSE)</f>
        <v>1000</v>
      </c>
      <c r="K7" s="9" t="str">
        <f>VLOOKUP(Table1[[#This Row],[Name]],Hafren!$B$7:$K$34,8,FALSE)</f>
        <v/>
      </c>
      <c r="L7" s="9">
        <f>VLOOKUP(Table1[[#This Row],[Name]],Carneddau!$B$7:$K$34,8,FALSE)</f>
        <v>725.58403493655283</v>
      </c>
      <c r="M7" s="9">
        <f>VLOOKUP(Table1[[#This Row],[Name]],Foel_Goch!$B$7:$K$33,8,FALSE)</f>
        <v>1000</v>
      </c>
      <c r="N7" s="9" t="str">
        <f>VLOOKUP(Table1[[#This Row],[Name]],Gwanas!$Z$7:$AJ$34,11,FALSE)</f>
        <v/>
      </c>
      <c r="O7" s="9">
        <f>VLOOKUP(Table1[[#This Row],[Name]],Maenarthur!$B$7:$K$34,8,FALSE)</f>
        <v>974.72788218899484</v>
      </c>
      <c r="P7" s="9">
        <f>VLOOKUP(Table1[[#This Row],[Name]],Allt_Goch!$B$7:$K$34,8,FALSE)</f>
        <v>912.61824595157907</v>
      </c>
      <c r="Q7" s="32">
        <f>VLOOKUP(Table1[[#This Row],[Name]],Mathrafal!$B$7:$K$34,8,FALSE)</f>
        <v>1000</v>
      </c>
    </row>
    <row r="8" spans="1:25" ht="15" customHeight="1" x14ac:dyDescent="0.3">
      <c r="A8" s="91">
        <f>_xlfn.RANK.EQ(F8,$F$6:$F$28,0)</f>
        <v>3</v>
      </c>
      <c r="B8" s="77" t="s">
        <v>1</v>
      </c>
      <c r="C8" s="7" t="s">
        <v>36</v>
      </c>
      <c r="D8" s="7" t="s">
        <v>18</v>
      </c>
      <c r="E8" s="88">
        <f>VLOOKUP(C8,Lookups!$E$2:$F$47,2,FALSE)</f>
        <v>0.56999999999999995</v>
      </c>
      <c r="F8" s="8">
        <f>IFERROR((G8+H8),G8)</f>
        <v>4329.564134448312</v>
      </c>
      <c r="G8" s="8">
        <f>IF(COUNT(J8:Q8)&lt;5,SUM(J8:Q8),LARGE(J8:Q8,1)+LARGE(J8:Q8,2)+LARGE(J8:Q8,3)+LARGE(J8:Q8,4)+LARGE(J8:Q8,5))</f>
        <v>3463.6513075586495</v>
      </c>
      <c r="H8" s="8">
        <f>IFERROR((IF(COUNT(J8:Q8)&gt;4,"",IF(D8="Y",AVERAGE(J8:Q8),""))),"")</f>
        <v>865.91282688966237</v>
      </c>
      <c r="I8" s="8">
        <f>COUNT(J8:Q8)</f>
        <v>4</v>
      </c>
      <c r="J8" s="9">
        <f>VLOOKUP(Table1[[#This Row],[Name]],Teifi!$AV$7:$BF$34,11,FALSE)</f>
        <v>905.00902286147505</v>
      </c>
      <c r="K8" s="9" t="str">
        <f>VLOOKUP(Table1[[#This Row],[Name]],Hafren!$B$7:$K$34,8,FALSE)</f>
        <v/>
      </c>
      <c r="L8" s="9" t="str">
        <f>VLOOKUP(Table1[[#This Row],[Name]],Carneddau!$B$7:$K$34,8,FALSE)</f>
        <v/>
      </c>
      <c r="M8" s="9">
        <f>VLOOKUP(Table1[[#This Row],[Name]],Foel_Goch!$B$7:$K$33,8,FALSE)</f>
        <v>709.09638251969307</v>
      </c>
      <c r="N8" s="9">
        <f>VLOOKUP(Table1[[#This Row],[Name]],Gwanas!$Z$7:$AJ$34,11,FALSE)</f>
        <v>1000</v>
      </c>
      <c r="O8" s="9">
        <f>VLOOKUP(Table1[[#This Row],[Name]],Maenarthur!$B$7:$K$34,8,FALSE)</f>
        <v>849.54590217748125</v>
      </c>
      <c r="P8" s="9" t="str">
        <f>VLOOKUP(Table1[[#This Row],[Name]],Allt_Goch!$B$7:$K$34,8,FALSE)</f>
        <v/>
      </c>
      <c r="Q8" s="32" t="str">
        <f>VLOOKUP(Table1[[#This Row],[Name]],Mathrafal!$B$7:$K$34,8,FALSE)</f>
        <v/>
      </c>
    </row>
    <row r="9" spans="1:25" ht="15" customHeight="1" x14ac:dyDescent="0.3">
      <c r="A9" s="91">
        <f>_xlfn.RANK.EQ(F9,$F$6:$F$28,0)</f>
        <v>4</v>
      </c>
      <c r="B9" s="77" t="s">
        <v>30</v>
      </c>
      <c r="C9" s="7" t="s">
        <v>21</v>
      </c>
      <c r="D9" s="7" t="s">
        <v>22</v>
      </c>
      <c r="E9" s="88">
        <f>VLOOKUP(C9,Lookups!$E$2:$F$47,2,FALSE)</f>
        <v>0.84</v>
      </c>
      <c r="F9" s="8">
        <f>IFERROR((G9+H9),G9)</f>
        <v>4323.1395352956224</v>
      </c>
      <c r="G9" s="8">
        <f>IF(COUNT(J9:Q9)&lt;5,SUM(J9:Q9),LARGE(J9:Q9,1)+LARGE(J9:Q9,2)+LARGE(J9:Q9,3)+LARGE(J9:Q9,4)+LARGE(J9:Q9,5))</f>
        <v>4323.1395352956224</v>
      </c>
      <c r="H9" s="8" t="str">
        <f>IFERROR((IF(COUNT(J9:Q9)&gt;4,"",IF(D9="Y",AVERAGE(J9:Q9),""))),"")</f>
        <v/>
      </c>
      <c r="I9" s="8">
        <f>COUNT(J9:Q9)</f>
        <v>5</v>
      </c>
      <c r="J9" s="9">
        <f>VLOOKUP(Table1[[#This Row],[Name]],Teifi!$AV$7:$BF$34,11,FALSE)</f>
        <v>925.37461546095039</v>
      </c>
      <c r="K9" s="9">
        <f>VLOOKUP(Table1[[#This Row],[Name]],Hafren!$B$7:$K$34,8,FALSE)</f>
        <v>891.06721698113222</v>
      </c>
      <c r="L9" s="9" t="str">
        <f>VLOOKUP(Table1[[#This Row],[Name]],Carneddau!$B$7:$K$34,8,FALSE)</f>
        <v/>
      </c>
      <c r="M9" s="9">
        <f>VLOOKUP(Table1[[#This Row],[Name]],Foel_Goch!$B$7:$K$33,8,FALSE)</f>
        <v>737.93859649122805</v>
      </c>
      <c r="N9" s="9">
        <f>VLOOKUP(Table1[[#This Row],[Name]],Gwanas!$Z$7:$AJ$34,11,FALSE)</f>
        <v>1000</v>
      </c>
      <c r="O9" s="9" t="str">
        <f>VLOOKUP(Table1[[#This Row],[Name]],Maenarthur!$B$7:$K$34,8,FALSE)</f>
        <v/>
      </c>
      <c r="P9" s="9" t="str">
        <f>VLOOKUP(Table1[[#This Row],[Name]],Allt_Goch!$B$7:$K$34,8,FALSE)</f>
        <v/>
      </c>
      <c r="Q9" s="32">
        <f>VLOOKUP(Table1[[#This Row],[Name]],Mathrafal!$B$7:$K$34,8,FALSE)</f>
        <v>768.75910636231174</v>
      </c>
    </row>
    <row r="10" spans="1:25" ht="15" customHeight="1" x14ac:dyDescent="0.3">
      <c r="A10" s="91">
        <f>_xlfn.RANK.EQ(F10,$F$6:$F$28,0)</f>
        <v>5</v>
      </c>
      <c r="B10" s="77" t="s">
        <v>0</v>
      </c>
      <c r="C10" s="7" t="s">
        <v>27</v>
      </c>
      <c r="D10" s="7" t="s">
        <v>18</v>
      </c>
      <c r="E10" s="88">
        <f>VLOOKUP(C10,Lookups!$E$2:$F$47,2,FALSE)</f>
        <v>0.86</v>
      </c>
      <c r="F10" s="8">
        <f>IFERROR((G10+H10),G10)</f>
        <v>4031.4765428102992</v>
      </c>
      <c r="G10" s="8">
        <f>IF(COUNT(J10:Q10)&lt;5,SUM(J10:Q10),LARGE(J10:Q10,1)+LARGE(J10:Q10,2)+LARGE(J10:Q10,3)+LARGE(J10:Q10,4)+LARGE(J10:Q10,5))</f>
        <v>4031.4765428102992</v>
      </c>
      <c r="H10" s="8" t="str">
        <f>IFERROR((IF(COUNT(J10:Q10)&gt;4,"",IF(D10="Y",AVERAGE(J10:Q10),""))),"")</f>
        <v/>
      </c>
      <c r="I10" s="8">
        <f>COUNT(J10:Q10)</f>
        <v>6</v>
      </c>
      <c r="J10" s="9">
        <f>VLOOKUP(Table1[[#This Row],[Name]],Teifi!$AV$7:$BF$34,11,FALSE)</f>
        <v>873.36482558139528</v>
      </c>
      <c r="K10" s="9" t="str">
        <f>VLOOKUP(Table1[[#This Row],[Name]],Hafren!$B$7:$K$34,8,FALSE)</f>
        <v/>
      </c>
      <c r="L10" s="9" t="str">
        <f>VLOOKUP(Table1[[#This Row],[Name]],Carneddau!$B$7:$K$34,8,FALSE)</f>
        <v/>
      </c>
      <c r="M10" s="9">
        <f>VLOOKUP(Table1[[#This Row],[Name]],Foel_Goch!$B$7:$K$33,8,FALSE)</f>
        <v>640.82967232276008</v>
      </c>
      <c r="N10" s="9">
        <f>VLOOKUP(Table1[[#This Row],[Name]],Gwanas!$Z$7:$AJ$34,11,FALSE)</f>
        <v>676.34442524378824</v>
      </c>
      <c r="O10" s="9">
        <f>VLOOKUP(Table1[[#This Row],[Name]],Maenarthur!$B$7:$K$34,8,FALSE)</f>
        <v>893.26256366202381</v>
      </c>
      <c r="P10" s="9">
        <f>VLOOKUP(Table1[[#This Row],[Name]],Allt_Goch!$B$7:$K$34,8,FALSE)</f>
        <v>695.85810390717211</v>
      </c>
      <c r="Q10" s="32">
        <f>VLOOKUP(Table1[[#This Row],[Name]],Mathrafal!$B$7:$K$34,8,FALSE)</f>
        <v>892.6466244159194</v>
      </c>
    </row>
    <row r="11" spans="1:25" ht="15" customHeight="1" x14ac:dyDescent="0.3">
      <c r="A11" s="91">
        <f>_xlfn.RANK.EQ(F11,$F$6:$F$28,0)</f>
        <v>6</v>
      </c>
      <c r="B11" s="77" t="s">
        <v>5</v>
      </c>
      <c r="C11" s="7" t="s">
        <v>159</v>
      </c>
      <c r="D11" s="7" t="s">
        <v>18</v>
      </c>
      <c r="E11" s="88">
        <f>VLOOKUP(C11,Lookups!$E$2:$F$47,2,FALSE)</f>
        <v>0.64</v>
      </c>
      <c r="F11" s="8">
        <f>IFERROR((G11+H11),G11)</f>
        <v>4003.9431403532303</v>
      </c>
      <c r="G11" s="8">
        <f>IF(COUNT(J11:Q11)&lt;5,SUM(J11:Q11),LARGE(J11:Q11,1)+LARGE(J11:Q11,2)+LARGE(J11:Q11,3)+LARGE(J11:Q11,4)+LARGE(J11:Q11,5))</f>
        <v>4003.9431403532303</v>
      </c>
      <c r="H11" s="8" t="str">
        <f>IFERROR((IF(COUNT(J11:Q11)&gt;4,"",IF(D11="Y",AVERAGE(J11:Q11),""))),"")</f>
        <v/>
      </c>
      <c r="I11" s="8">
        <f>COUNT(J11:Q11)</f>
        <v>5</v>
      </c>
      <c r="J11" s="9" t="str">
        <f>VLOOKUP(Table1[[#This Row],[Name]],Teifi!$AV$7:$BF$34,11,FALSE)</f>
        <v xml:space="preserve"> </v>
      </c>
      <c r="K11" s="9">
        <f>VLOOKUP(Table1[[#This Row],[Name]],Hafren!$B$7:$K$34,8,FALSE)</f>
        <v>818.28202351485152</v>
      </c>
      <c r="L11" s="9" t="str">
        <f>VLOOKUP(Table1[[#This Row],[Name]],Carneddau!$B$7:$K$34,8,FALSE)</f>
        <v/>
      </c>
      <c r="M11" s="9">
        <f>VLOOKUP(Table1[[#This Row],[Name]],Foel_Goch!$B$7:$K$33,8,FALSE)</f>
        <v>931.10945186226274</v>
      </c>
      <c r="N11" s="9">
        <f>VLOOKUP(Table1[[#This Row],[Name]],Gwanas!$Z$7:$AJ$34,11,FALSE)</f>
        <v>783.37696335078533</v>
      </c>
      <c r="O11" s="9" t="str">
        <f>VLOOKUP(Table1[[#This Row],[Name]],Maenarthur!$B$7:$K$34,8,FALSE)</f>
        <v/>
      </c>
      <c r="P11" s="9">
        <f>VLOOKUP(Table1[[#This Row],[Name]],Allt_Goch!$B$7:$K$34,8,FALSE)</f>
        <v>711.01244860666964</v>
      </c>
      <c r="Q11" s="32">
        <f>VLOOKUP(Table1[[#This Row],[Name]],Mathrafal!$B$7:$K$34,8,FALSE)</f>
        <v>760.16225301866086</v>
      </c>
    </row>
    <row r="12" spans="1:25" ht="15" customHeight="1" x14ac:dyDescent="0.3">
      <c r="A12" s="91">
        <f>_xlfn.RANK.EQ(F12,$F$6:$F$28,0)</f>
        <v>7</v>
      </c>
      <c r="B12" s="77" t="s">
        <v>23</v>
      </c>
      <c r="C12" s="7" t="s">
        <v>24</v>
      </c>
      <c r="D12" s="7" t="s">
        <v>18</v>
      </c>
      <c r="E12" s="88">
        <f>VLOOKUP(C12,Lookups!$E$2:$F$47,2,FALSE)</f>
        <v>0.7</v>
      </c>
      <c r="F12" s="8">
        <f>IFERROR((G12+H12),G12)</f>
        <v>3937.2173883015475</v>
      </c>
      <c r="G12" s="8">
        <f>IF(COUNT(J12:Q12)&lt;5,SUM(J12:Q12),LARGE(J12:Q12,1)+LARGE(J12:Q12,2)+LARGE(J12:Q12,3)+LARGE(J12:Q12,4)+LARGE(J12:Q12,5))</f>
        <v>3149.7739106412382</v>
      </c>
      <c r="H12" s="8">
        <f>IFERROR((IF(COUNT(J12:Q12)&gt;4,"",IF(D12="Y",AVERAGE(J12:Q12),""))),"")</f>
        <v>787.44347766030955</v>
      </c>
      <c r="I12" s="8">
        <f>COUNT(J12:Q12)</f>
        <v>4</v>
      </c>
      <c r="J12" s="9">
        <f>VLOOKUP(Table1[[#This Row],[Name]],Teifi!$AV$7:$BF$34,11,FALSE)</f>
        <v>1000</v>
      </c>
      <c r="K12" s="9">
        <f>VLOOKUP(Table1[[#This Row],[Name]],Hafren!$B$7:$K$34,8,FALSE)</f>
        <v>821.88987083616598</v>
      </c>
      <c r="L12" s="9" t="str">
        <f>VLOOKUP(Table1[[#This Row],[Name]],Carneddau!$B$7:$K$34,8,FALSE)</f>
        <v/>
      </c>
      <c r="M12" s="9" t="str">
        <f>VLOOKUP(Table1[[#This Row],[Name]],Foel_Goch!$B$7:$K$33,8,FALSE)</f>
        <v/>
      </c>
      <c r="N12" s="9" t="str">
        <f>VLOOKUP(Table1[[#This Row],[Name]],Gwanas!$Z$7:$AJ$34,11,FALSE)</f>
        <v/>
      </c>
      <c r="O12" s="9">
        <f>VLOOKUP(Table1[[#This Row],[Name]],Maenarthur!$B$7:$K$34,8,FALSE)</f>
        <v>689.05126763896703</v>
      </c>
      <c r="P12" s="9">
        <f>VLOOKUP(Table1[[#This Row],[Name]],Allt_Goch!$B$7:$K$34,8,FALSE)</f>
        <v>638.83277216610543</v>
      </c>
      <c r="Q12" s="32" t="str">
        <f>VLOOKUP(Table1[[#This Row],[Name]],Mathrafal!$B$7:$K$34,8,FALSE)</f>
        <v/>
      </c>
    </row>
    <row r="13" spans="1:25" ht="15" customHeight="1" x14ac:dyDescent="0.3">
      <c r="A13" s="91">
        <f>_xlfn.RANK.EQ(F13,$F$6:$F$28,0)</f>
        <v>8</v>
      </c>
      <c r="B13" s="77" t="s">
        <v>6</v>
      </c>
      <c r="C13" s="7" t="s">
        <v>19</v>
      </c>
      <c r="D13" s="7" t="s">
        <v>22</v>
      </c>
      <c r="E13" s="88">
        <f>VLOOKUP(C13,Lookups!$E$2:$F$47,2,FALSE)</f>
        <v>0.63</v>
      </c>
      <c r="F13" s="8">
        <f>IFERROR((G13+H13),G13)</f>
        <v>3824.3850879246802</v>
      </c>
      <c r="G13" s="8">
        <f>IF(COUNT(J13:Q13)&lt;5,SUM(J13:Q13),LARGE(J13:Q13,1)+LARGE(J13:Q13,2)+LARGE(J13:Q13,3)+LARGE(J13:Q13,4)+LARGE(J13:Q13,5))</f>
        <v>3824.3850879246802</v>
      </c>
      <c r="H13" s="8" t="str">
        <f>IFERROR((IF(COUNT(J13:Q13)&gt;4,"",IF(D13="Y",AVERAGE(J13:Q13),""))),"")</f>
        <v/>
      </c>
      <c r="I13" s="8">
        <f>COUNT(J13:Q13)</f>
        <v>5</v>
      </c>
      <c r="J13" s="9">
        <f>VLOOKUP(Table1[[#This Row],[Name]],Teifi!$AV$7:$BF$34,11,FALSE)</f>
        <v>907.51829673985344</v>
      </c>
      <c r="K13" s="9" t="str">
        <f>VLOOKUP(Table1[[#This Row],[Name]],Hafren!$B$7:$K$34,8,FALSE)</f>
        <v/>
      </c>
      <c r="L13" s="9">
        <f>VLOOKUP(Table1[[#This Row],[Name]],Carneddau!$B$7:$K$34,8,FALSE)</f>
        <v>662.20731560962349</v>
      </c>
      <c r="M13" s="9" t="str">
        <f>VLOOKUP(Table1[[#This Row],[Name]],Foel_Goch!$B$7:$K$33,8,FALSE)</f>
        <v/>
      </c>
      <c r="N13" s="9">
        <f>VLOOKUP(Table1[[#This Row],[Name]],Gwanas!$Z$7:$AJ$34,11,FALSE)</f>
        <v>675.76116142538558</v>
      </c>
      <c r="O13" s="9">
        <f>VLOOKUP(Table1[[#This Row],[Name]],Maenarthur!$B$7:$K$34,8,FALSE)</f>
        <v>761.98327641031699</v>
      </c>
      <c r="P13" s="9" t="str">
        <f>VLOOKUP(Table1[[#This Row],[Name]],Allt_Goch!$B$7:$K$34,8,FALSE)</f>
        <v/>
      </c>
      <c r="Q13" s="32">
        <f>VLOOKUP(Table1[[#This Row],[Name]],Mathrafal!$B$7:$K$34,8,FALSE)</f>
        <v>816.91503773950046</v>
      </c>
    </row>
    <row r="14" spans="1:25" ht="15" customHeight="1" x14ac:dyDescent="0.3">
      <c r="A14" s="91">
        <f>_xlfn.RANK.EQ(F14,$F$6:$F$28,0)</f>
        <v>9</v>
      </c>
      <c r="B14" s="77" t="s">
        <v>29</v>
      </c>
      <c r="C14" s="7" t="s">
        <v>21</v>
      </c>
      <c r="D14" s="7" t="s">
        <v>22</v>
      </c>
      <c r="E14" s="88">
        <f>VLOOKUP(C14,Lookups!$E$2:$F$47,2,FALSE)</f>
        <v>0.84</v>
      </c>
      <c r="F14" s="8">
        <f>IFERROR((G14+H14),G14)</f>
        <v>3555.6899341354019</v>
      </c>
      <c r="G14" s="8">
        <f>IF(COUNT(J14:Q14)&lt;5,SUM(J14:Q14),LARGE(J14:Q14,1)+LARGE(J14:Q14,2)+LARGE(J14:Q14,3)+LARGE(J14:Q14,4)+LARGE(J14:Q14,5))</f>
        <v>3555.6899341354019</v>
      </c>
      <c r="H14" s="8" t="str">
        <f>IFERROR((IF(COUNT(J14:Q14)&gt;4,"",IF(D14="Y",AVERAGE(J14:Q14),""))),"")</f>
        <v/>
      </c>
      <c r="I14" s="8">
        <f>COUNT(J14:Q14)</f>
        <v>6</v>
      </c>
      <c r="J14" s="9">
        <f>VLOOKUP(Table1[[#This Row],[Name]],Teifi!$AV$7:$BF$34,11,FALSE)</f>
        <v>632.66649118188991</v>
      </c>
      <c r="K14" s="9" t="str">
        <f>VLOOKUP(Table1[[#This Row],[Name]],Hafren!$B$7:$K$34,8,FALSE)</f>
        <v/>
      </c>
      <c r="L14" s="9">
        <f>VLOOKUP(Table1[[#This Row],[Name]],Carneddau!$B$7:$K$34,8,FALSE)</f>
        <v>448.20657517848736</v>
      </c>
      <c r="M14" s="9">
        <f>VLOOKUP(Table1[[#This Row],[Name]],Foel_Goch!$B$7:$K$33,8,FALSE)</f>
        <v>721.2554223016075</v>
      </c>
      <c r="N14" s="9" t="str">
        <f>VLOOKUP(Table1[[#This Row],[Name]],Gwanas!$Z$7:$AJ$34,11,FALSE)</f>
        <v/>
      </c>
      <c r="O14" s="9">
        <f>VLOOKUP(Table1[[#This Row],[Name]],Maenarthur!$B$7:$K$34,8,FALSE)</f>
        <v>720.6906154274576</v>
      </c>
      <c r="P14" s="9">
        <f>VLOOKUP(Table1[[#This Row],[Name]],Allt_Goch!$B$7:$K$34,8,FALSE)</f>
        <v>671.79227786208048</v>
      </c>
      <c r="Q14" s="32">
        <f>VLOOKUP(Table1[[#This Row],[Name]],Mathrafal!$B$7:$K$34,8,FALSE)</f>
        <v>809.28512736236644</v>
      </c>
    </row>
    <row r="15" spans="1:25" ht="15" customHeight="1" x14ac:dyDescent="0.3">
      <c r="A15" s="91">
        <f>_xlfn.RANK.EQ(F15,$F$6:$F$28,0)</f>
        <v>10</v>
      </c>
      <c r="B15" s="77" t="s">
        <v>25</v>
      </c>
      <c r="C15" s="7" t="s">
        <v>26</v>
      </c>
      <c r="D15" s="7" t="s">
        <v>18</v>
      </c>
      <c r="E15" s="88">
        <f>VLOOKUP(C15,Lookups!$E$2:$F$47,2,FALSE)</f>
        <v>0.67</v>
      </c>
      <c r="F15" s="8">
        <f>IFERROR((G15+H15),G15)</f>
        <v>3537.1344007357152</v>
      </c>
      <c r="G15" s="8">
        <f>IF(COUNT(J15:Q15)&lt;5,SUM(J15:Q15),LARGE(J15:Q15,1)+LARGE(J15:Q15,2)+LARGE(J15:Q15,3)+LARGE(J15:Q15,4)+LARGE(J15:Q15,5))</f>
        <v>2652.8508005517865</v>
      </c>
      <c r="H15" s="8">
        <f>IFERROR((IF(COUNT(J15:Q15)&gt;4,"",IF(D15="Y",AVERAGE(J15:Q15),""))),"")</f>
        <v>884.2836001839288</v>
      </c>
      <c r="I15" s="8">
        <f>COUNT(J15:Q15)</f>
        <v>3</v>
      </c>
      <c r="J15" s="9" t="str">
        <f>VLOOKUP(Table1[[#This Row],[Name]],Teifi!$AV$7:$BF$34,11,FALSE)</f>
        <v xml:space="preserve"> </v>
      </c>
      <c r="K15" s="9" t="str">
        <f>VLOOKUP(Table1[[#This Row],[Name]],Hafren!$B$7:$K$34,8,FALSE)</f>
        <v/>
      </c>
      <c r="L15" s="9" t="str">
        <f>VLOOKUP(Table1[[#This Row],[Name]],Carneddau!$B$7:$K$34,8,FALSE)</f>
        <v/>
      </c>
      <c r="M15" s="9" t="str">
        <f>VLOOKUP(Table1[[#This Row],[Name]],Foel_Goch!$B$7:$K$33,8,FALSE)</f>
        <v/>
      </c>
      <c r="N15" s="9">
        <f>VLOOKUP(Table1[[#This Row],[Name]],Gwanas!$Z$7:$AJ$34,11,FALSE)</f>
        <v>903.24527558206489</v>
      </c>
      <c r="O15" s="9">
        <f>VLOOKUP(Table1[[#This Row],[Name]],Maenarthur!$B$7:$K$34,8,FALSE)</f>
        <v>914.60613271448597</v>
      </c>
      <c r="P15" s="9">
        <f>VLOOKUP(Table1[[#This Row],[Name]],Allt_Goch!$B$7:$K$34,8,FALSE)</f>
        <v>834.99939225523588</v>
      </c>
      <c r="Q15" s="32" t="str">
        <f>VLOOKUP(Table1[[#This Row],[Name]],Mathrafal!$B$7:$K$34,8,FALSE)</f>
        <v/>
      </c>
    </row>
    <row r="16" spans="1:25" ht="15" customHeight="1" x14ac:dyDescent="0.3">
      <c r="A16" s="91">
        <f>_xlfn.RANK.EQ(F16,$F$6:$F$28,0)</f>
        <v>12</v>
      </c>
      <c r="B16" s="77" t="s">
        <v>40</v>
      </c>
      <c r="C16" s="7" t="s">
        <v>17</v>
      </c>
      <c r="D16" s="7" t="s">
        <v>22</v>
      </c>
      <c r="E16" s="88">
        <f>VLOOKUP(C16,Lookups!$E$2:$F$47,2,FALSE)</f>
        <v>0.7</v>
      </c>
      <c r="F16" s="8">
        <f>IFERROR((G16+H16),G16)</f>
        <v>2974.6076533539444</v>
      </c>
      <c r="G16" s="8">
        <f>IF(COUNT(J16:Q16)&lt;5,SUM(J16:Q16),LARGE(J16:Q16,1)+LARGE(J16:Q16,2)+LARGE(J16:Q16,3)+LARGE(J16:Q16,4)+LARGE(J16:Q16,5))</f>
        <v>2974.6076533539444</v>
      </c>
      <c r="H16" s="8" t="str">
        <f>IFERROR((IF(COUNT(J16:Q16)&gt;4,"",IF(D16="Y",AVERAGE(J16:Q16),""))),"")</f>
        <v/>
      </c>
      <c r="I16" s="8">
        <f>COUNT(J16:Q16)</f>
        <v>3</v>
      </c>
      <c r="J16" s="9" t="str">
        <f>VLOOKUP(Table1[[#This Row],[Name]],Teifi!$AV$7:$BF$34,11,FALSE)</f>
        <v xml:space="preserve"> </v>
      </c>
      <c r="K16" s="9" t="str">
        <f>VLOOKUP(Table1[[#This Row],[Name]],Hafren!$B$7:$K$34,8,FALSE)</f>
        <v/>
      </c>
      <c r="L16" s="9" t="str">
        <f>VLOOKUP(Table1[[#This Row],[Name]],Carneddau!$B$7:$K$34,8,FALSE)</f>
        <v/>
      </c>
      <c r="M16" s="9" t="str">
        <f>VLOOKUP(Table1[[#This Row],[Name]],Foel_Goch!$B$7:$K$33,8,FALSE)</f>
        <v/>
      </c>
      <c r="N16" s="9" t="str">
        <f>VLOOKUP(Table1[[#This Row],[Name]],Gwanas!$Z$7:$AJ$34,11,FALSE)</f>
        <v/>
      </c>
      <c r="O16" s="9">
        <f>VLOOKUP(Table1[[#This Row],[Name]],Maenarthur!$B$7:$K$34,8,FALSE)</f>
        <v>987.36752861381945</v>
      </c>
      <c r="P16" s="9">
        <f>VLOOKUP(Table1[[#This Row],[Name]],Allt_Goch!$B$7:$K$34,8,FALSE)</f>
        <v>1000</v>
      </c>
      <c r="Q16" s="32">
        <f>VLOOKUP(Table1[[#This Row],[Name]],Mathrafal!$B$7:$K$34,8,FALSE)</f>
        <v>987.24012474012466</v>
      </c>
    </row>
    <row r="17" spans="1:17" ht="15" customHeight="1" x14ac:dyDescent="0.3">
      <c r="A17" s="91">
        <f>_xlfn.RANK.EQ(F17,$F$6:$F$28,0)</f>
        <v>11</v>
      </c>
      <c r="B17" s="115" t="s">
        <v>35</v>
      </c>
      <c r="C17" s="116" t="s">
        <v>59</v>
      </c>
      <c r="D17" s="7" t="s">
        <v>18</v>
      </c>
      <c r="E17" s="88">
        <f>VLOOKUP(C17,Lookups!$E$2:$F$47,2,FALSE)</f>
        <v>0.77</v>
      </c>
      <c r="F17" s="8">
        <f>IFERROR((G17+H17),G17)</f>
        <v>3041.6415002244948</v>
      </c>
      <c r="G17" s="8">
        <f>IF(COUNT(J17:Q17)&lt;5,SUM(J17:Q17),LARGE(J17:Q17,1)+LARGE(J17:Q17,2)+LARGE(J17:Q17,3)+LARGE(J17:Q17,4)+LARGE(J17:Q17,5))</f>
        <v>2433.3132001795957</v>
      </c>
      <c r="H17" s="8">
        <f>IFERROR((IF(COUNT(J17:Q17)&gt;4,"",IF(D17="Y",AVERAGE(J17:Q17),""))),"")</f>
        <v>608.32830004489892</v>
      </c>
      <c r="I17" s="8">
        <f>COUNT(J17:Q17)</f>
        <v>4</v>
      </c>
      <c r="J17" s="9" t="str">
        <f>VLOOKUP(Table1[[#This Row],[Name]],Teifi!$AV$7:$BF$34,11,FALSE)</f>
        <v xml:space="preserve"> </v>
      </c>
      <c r="K17" s="9" t="str">
        <f>VLOOKUP(Table1[[#This Row],[Name]],Hafren!$B$7:$K$34,8,FALSE)</f>
        <v/>
      </c>
      <c r="L17" s="9" t="str">
        <f>VLOOKUP(Table1[[#This Row],[Name]],Carneddau!$B$7:$K$34,8,FALSE)</f>
        <v/>
      </c>
      <c r="M17" s="9">
        <f>VLOOKUP(Table1[[#This Row],[Name]],Foel_Goch!$B$7:$K$33,8,FALSE)</f>
        <v>624.77650942098751</v>
      </c>
      <c r="N17" s="9">
        <f>VLOOKUP(Table1[[#This Row],[Name]],Gwanas!$Z$7:$AJ$34,11,FALSE)</f>
        <v>681.88538538073146</v>
      </c>
      <c r="O17" s="9">
        <f>VLOOKUP(Table1[[#This Row],[Name]],Maenarthur!$B$7:$K$34,8,FALSE)</f>
        <v>572.03764465489132</v>
      </c>
      <c r="P17" s="9">
        <f>VLOOKUP(Table1[[#This Row],[Name]],Allt_Goch!$B$7:$K$34,8,FALSE)</f>
        <v>554.61366072298529</v>
      </c>
      <c r="Q17" s="32" t="str">
        <f>VLOOKUP(Table1[[#This Row],[Name]],Mathrafal!$B$7:$K$34,8,FALSE)</f>
        <v/>
      </c>
    </row>
    <row r="18" spans="1:17" ht="15" customHeight="1" x14ac:dyDescent="0.3">
      <c r="A18" s="91">
        <f>_xlfn.RANK.EQ(F18,$F$6:$F$28,0)</f>
        <v>13</v>
      </c>
      <c r="B18" s="77" t="s">
        <v>32</v>
      </c>
      <c r="C18" s="7" t="s">
        <v>27</v>
      </c>
      <c r="D18" s="7" t="s">
        <v>18</v>
      </c>
      <c r="E18" s="88">
        <f>VLOOKUP(C18,Lookups!$E$2:$F$47,2,FALSE)</f>
        <v>0.86</v>
      </c>
      <c r="F18" s="8">
        <f>IFERROR((G18+H18),G18)</f>
        <v>2127.7683367655445</v>
      </c>
      <c r="G18" s="8">
        <f>IF(COUNT(J18:Q18)&lt;5,SUM(J18:Q18),LARGE(J18:Q18,1)+LARGE(J18:Q18,2)+LARGE(J18:Q18,3)+LARGE(J18:Q18,4)+LARGE(J18:Q18,5))</f>
        <v>1418.512224510363</v>
      </c>
      <c r="H18" s="8">
        <f>IFERROR((IF(COUNT(J18:Q18)&gt;4,"",IF(D18="Y",AVERAGE(J18:Q18),""))),"")</f>
        <v>709.25611225518151</v>
      </c>
      <c r="I18" s="8">
        <f>COUNT(J18:Q18)</f>
        <v>2</v>
      </c>
      <c r="J18" s="9">
        <f>VLOOKUP(Table1[[#This Row],[Name]],Teifi!$AV$7:$BF$34,11,FALSE)</f>
        <v>720.9202343578155</v>
      </c>
      <c r="K18" s="9">
        <f>VLOOKUP(Table1[[#This Row],[Name]],Hafren!$B$7:$K$34,8,FALSE)</f>
        <v>697.59199015254762</v>
      </c>
      <c r="L18" s="9" t="str">
        <f>VLOOKUP(Table1[[#This Row],[Name]],Carneddau!$B$7:$K$34,8,FALSE)</f>
        <v/>
      </c>
      <c r="M18" s="9" t="str">
        <f>VLOOKUP(Table1[[#This Row],[Name]],Foel_Goch!$B$7:$K$33,8,FALSE)</f>
        <v/>
      </c>
      <c r="N18" s="9" t="str">
        <f>VLOOKUP(Table1[[#This Row],[Name]],Gwanas!$Z$7:$AJ$34,11,FALSE)</f>
        <v/>
      </c>
      <c r="O18" s="9" t="str">
        <f>VLOOKUP(Table1[[#This Row],[Name]],Maenarthur!$B$7:$K$34,8,FALSE)</f>
        <v/>
      </c>
      <c r="P18" s="9" t="str">
        <f>VLOOKUP(Table1[[#This Row],[Name]],Allt_Goch!$B$7:$K$34,8,FALSE)</f>
        <v/>
      </c>
      <c r="Q18" s="32" t="str">
        <f>VLOOKUP(Table1[[#This Row],[Name]],Mathrafal!$B$7:$K$34,8,FALSE)</f>
        <v/>
      </c>
    </row>
    <row r="19" spans="1:17" ht="15" customHeight="1" x14ac:dyDescent="0.3">
      <c r="A19" s="91">
        <f>_xlfn.RANK.EQ(F19,$F$6:$F$28,0)</f>
        <v>14</v>
      </c>
      <c r="B19" s="77" t="s">
        <v>16</v>
      </c>
      <c r="C19" s="7" t="s">
        <v>110</v>
      </c>
      <c r="D19" s="7" t="s">
        <v>22</v>
      </c>
      <c r="E19" s="88">
        <f>VLOOKUP(C19,Lookups!$E$2:$F$47,2,FALSE)</f>
        <v>0.8</v>
      </c>
      <c r="F19" s="8">
        <f>IFERROR((G19+H19),G19)</f>
        <v>2000</v>
      </c>
      <c r="G19" s="8">
        <f>IF(COUNT(J19:Q19)&lt;5,SUM(J19:Q19),LARGE(J19:Q19,1)+LARGE(J19:Q19,2)+LARGE(J19:Q19,3)+LARGE(J19:Q19,4)+LARGE(J19:Q19,5))</f>
        <v>2000</v>
      </c>
      <c r="H19" s="8" t="str">
        <f>IFERROR((IF(COUNT(J19:Q19)&gt;4,"",IF(D19="Y",AVERAGE(J19:Q19),""))),"")</f>
        <v/>
      </c>
      <c r="I19" s="8">
        <f>COUNT(J19:Q19)</f>
        <v>2</v>
      </c>
      <c r="J19" s="9">
        <f>VLOOKUP(Table1[[#This Row],[Name]],Teifi!$AV$7:$BF$34,11,FALSE)</f>
        <v>1000</v>
      </c>
      <c r="K19" s="9" t="str">
        <f>VLOOKUP(Table1[[#This Row],[Name]],Hafren!$B$7:$K$34,8,FALSE)</f>
        <v/>
      </c>
      <c r="L19" s="9">
        <f>VLOOKUP(Table1[[#This Row],[Name]],Carneddau!$B$7:$K$34,8,FALSE)</f>
        <v>1000</v>
      </c>
      <c r="M19" s="9" t="str">
        <f>VLOOKUP(Table1[[#This Row],[Name]],Foel_Goch!$B$7:$K$33,8,FALSE)</f>
        <v/>
      </c>
      <c r="N19" s="9" t="str">
        <f>VLOOKUP(Table1[[#This Row],[Name]],Gwanas!$Z$7:$AJ$34,11,FALSE)</f>
        <v/>
      </c>
      <c r="O19" s="9" t="str">
        <f>VLOOKUP(Table1[[#This Row],[Name]],Maenarthur!$B$7:$K$34,8,FALSE)</f>
        <v/>
      </c>
      <c r="P19" s="9" t="str">
        <f>VLOOKUP(Table1[[#This Row],[Name]],Allt_Goch!$B$7:$K$34,8,FALSE)</f>
        <v/>
      </c>
      <c r="Q19" s="32" t="str">
        <f>VLOOKUP(Table1[[#This Row],[Name]],Mathrafal!$B$7:$K$34,8,FALSE)</f>
        <v/>
      </c>
    </row>
    <row r="20" spans="1:17" ht="15" customHeight="1" x14ac:dyDescent="0.3">
      <c r="A20" s="91">
        <f>_xlfn.RANK.EQ(F20,$F$6:$F$28,0)</f>
        <v>15</v>
      </c>
      <c r="B20" s="77" t="s">
        <v>44</v>
      </c>
      <c r="C20" s="7" t="s">
        <v>45</v>
      </c>
      <c r="D20" s="7" t="s">
        <v>22</v>
      </c>
      <c r="E20" s="88">
        <f>VLOOKUP(C20,Lookups!$E$2:$F$47,2,FALSE)</f>
        <v>0.67</v>
      </c>
      <c r="F20" s="8">
        <f>IFERROR((G20+H20),G20)</f>
        <v>1829.4960416243762</v>
      </c>
      <c r="G20" s="8">
        <f>IF(COUNT(J20:Q20)&lt;5,SUM(J20:Q20),LARGE(J20:Q20,1)+LARGE(J20:Q20,2)+LARGE(J20:Q20,3)+LARGE(J20:Q20,4)+LARGE(J20:Q20,5))</f>
        <v>1829.4960416243762</v>
      </c>
      <c r="H20" s="8" t="str">
        <f>IFERROR((IF(COUNT(J20:Q20)&gt;4,"",IF(D20="Y",AVERAGE(J20:Q20),""))),"")</f>
        <v/>
      </c>
      <c r="I20" s="8">
        <f>COUNT(J20:Q20)</f>
        <v>2</v>
      </c>
      <c r="J20" s="9">
        <f>VLOOKUP(Table1[[#This Row],[Name]],Teifi!$AV$7:$BF$34,11,FALSE)</f>
        <v>999.99999999999989</v>
      </c>
      <c r="K20" s="9" t="str">
        <f>VLOOKUP(Table1[[#This Row],[Name]],Hafren!$B$7:$K$34,8,FALSE)</f>
        <v/>
      </c>
      <c r="L20" s="9" t="str">
        <f>VLOOKUP(Table1[[#This Row],[Name]],Carneddau!$B$7:$K$34,8,FALSE)</f>
        <v/>
      </c>
      <c r="M20" s="9" t="str">
        <f>VLOOKUP(Table1[[#This Row],[Name]],Foel_Goch!$B$7:$K$33,8,FALSE)</f>
        <v/>
      </c>
      <c r="N20" s="9" t="str">
        <f>VLOOKUP(Table1[[#This Row],[Name]],Gwanas!$Z$7:$AJ$34,11,FALSE)</f>
        <v/>
      </c>
      <c r="O20" s="9">
        <f>VLOOKUP(Table1[[#This Row],[Name]],Maenarthur!$B$7:$K$34,8,FALSE)</f>
        <v>829.4960416243764</v>
      </c>
      <c r="P20" s="9" t="str">
        <f>VLOOKUP(Table1[[#This Row],[Name]],Allt_Goch!$B$7:$K$34,8,FALSE)</f>
        <v/>
      </c>
      <c r="Q20" s="32" t="str">
        <f>VLOOKUP(Table1[[#This Row],[Name]],Mathrafal!$B$7:$K$34,8,FALSE)</f>
        <v/>
      </c>
    </row>
    <row r="21" spans="1:17" ht="15" customHeight="1" x14ac:dyDescent="0.3">
      <c r="A21" s="91">
        <f>_xlfn.RANK.EQ(F21,$F$6:$F$28,0)</f>
        <v>16</v>
      </c>
      <c r="B21" s="78" t="s">
        <v>33</v>
      </c>
      <c r="C21" s="10" t="s">
        <v>34</v>
      </c>
      <c r="D21" s="10" t="s">
        <v>22</v>
      </c>
      <c r="E21" s="89">
        <f>VLOOKUP(C21,Lookups!$E$2:$F$47,2,FALSE)</f>
        <v>0.8</v>
      </c>
      <c r="F21" s="8">
        <f>IFERROR((G21+H21),G21)</f>
        <v>1726.1394264806613</v>
      </c>
      <c r="G21" s="8">
        <f>IF(COUNT(J21:Q21)&lt;5,SUM(J21:Q21),LARGE(J21:Q21,1)+LARGE(J21:Q21,2)+LARGE(J21:Q21,3)+LARGE(J21:Q21,4)+LARGE(J21:Q21,5))</f>
        <v>1726.1394264806613</v>
      </c>
      <c r="H21" s="8" t="str">
        <f>IFERROR((IF(COUNT(J21:Q21)&gt;4,"",IF(D21="Y",AVERAGE(J21:Q21),""))),"")</f>
        <v/>
      </c>
      <c r="I21" s="8">
        <f>COUNT(J21:Q21)</f>
        <v>2</v>
      </c>
      <c r="J21" s="9" t="str">
        <f>VLOOKUP(Table1[[#This Row],[Name]],Teifi!$AV$7:$BF$34,11,FALSE)</f>
        <v xml:space="preserve"> </v>
      </c>
      <c r="K21" s="9" t="str">
        <f>VLOOKUP(Table1[[#This Row],[Name]],Hafren!$B$7:$K$34,8,FALSE)</f>
        <v/>
      </c>
      <c r="L21" s="9" t="str">
        <f>VLOOKUP(Table1[[#This Row],[Name]],Carneddau!$B$7:$K$34,8,FALSE)</f>
        <v/>
      </c>
      <c r="M21" s="9" t="str">
        <f>VLOOKUP(Table1[[#This Row],[Name]],Foel_Goch!$B$7:$K$33,8,FALSE)</f>
        <v/>
      </c>
      <c r="N21" s="9" t="str">
        <f>VLOOKUP(Table1[[#This Row],[Name]],Gwanas!$Z$7:$AJ$34,11,FALSE)</f>
        <v/>
      </c>
      <c r="O21" s="9">
        <f>VLOOKUP(Table1[[#This Row],[Name]],Maenarthur!$B$7:$K$34,8,FALSE)</f>
        <v>816.69004207573641</v>
      </c>
      <c r="P21" s="9" t="str">
        <f>VLOOKUP(Table1[[#This Row],[Name]],Allt_Goch!$B$7:$K$34,8,FALSE)</f>
        <v/>
      </c>
      <c r="Q21" s="32">
        <f>VLOOKUP(Table1[[#This Row],[Name]],Mathrafal!$B$7:$K$34,8,FALSE)</f>
        <v>909.44938440492479</v>
      </c>
    </row>
    <row r="22" spans="1:17" ht="15" customHeight="1" x14ac:dyDescent="0.3">
      <c r="A22" s="91">
        <f>_xlfn.RANK.EQ(F22,$F$6:$F$28,0)</f>
        <v>17</v>
      </c>
      <c r="B22" s="77" t="s">
        <v>38</v>
      </c>
      <c r="C22" s="7" t="s">
        <v>39</v>
      </c>
      <c r="D22" s="7" t="s">
        <v>22</v>
      </c>
      <c r="E22" s="88">
        <f>VLOOKUP(C22,Lookups!$E$2:$F$47,2,FALSE)</f>
        <v>0.9</v>
      </c>
      <c r="F22" s="8">
        <f>IFERROR((G22+H22),G22)</f>
        <v>1367.1582751097367</v>
      </c>
      <c r="G22" s="8">
        <f>IF(COUNT(J22:Q22)&lt;5,SUM(J22:Q22),LARGE(J22:Q22,1)+LARGE(J22:Q22,2)+LARGE(J22:Q22,3)+LARGE(J22:Q22,4)+LARGE(J22:Q22,5))</f>
        <v>1367.1582751097367</v>
      </c>
      <c r="H22" s="8" t="str">
        <f>IFERROR((IF(COUNT(J22:Q22)&gt;4,"",IF(D22="Y",AVERAGE(J22:Q22),""))),"")</f>
        <v/>
      </c>
      <c r="I22" s="8">
        <f>COUNT(J22:Q22)</f>
        <v>2</v>
      </c>
      <c r="J22" s="9" t="str">
        <f>VLOOKUP(Table1[[#This Row],[Name]],Teifi!$AV$7:$BF$34,11,FALSE)</f>
        <v xml:space="preserve"> </v>
      </c>
      <c r="K22" s="9" t="str">
        <f>VLOOKUP(Table1[[#This Row],[Name]],Hafren!$B$7:$K$34,8,FALSE)</f>
        <v/>
      </c>
      <c r="L22" s="9" t="str">
        <f>VLOOKUP(Table1[[#This Row],[Name]],Carneddau!$B$7:$K$34,8,FALSE)</f>
        <v/>
      </c>
      <c r="M22" s="9" t="str">
        <f>VLOOKUP(Table1[[#This Row],[Name]],Foel_Goch!$B$7:$K$33,8,FALSE)</f>
        <v/>
      </c>
      <c r="N22" s="9">
        <f>VLOOKUP(Table1[[#This Row],[Name]],Gwanas!$Z$7:$AJ$34,11,FALSE)</f>
        <v>738.54520734194443</v>
      </c>
      <c r="O22" s="9">
        <f>VLOOKUP(Table1[[#This Row],[Name]],Maenarthur!$B$7:$K$34,8,FALSE)</f>
        <v>628.61306776779213</v>
      </c>
      <c r="P22" s="9" t="str">
        <f>VLOOKUP(Table1[[#This Row],[Name]],Allt_Goch!$B$7:$K$34,8,FALSE)</f>
        <v/>
      </c>
      <c r="Q22" s="32" t="str">
        <f>VLOOKUP(Table1[[#This Row],[Name]],Mathrafal!$B$7:$K$34,8,FALSE)</f>
        <v/>
      </c>
    </row>
    <row r="23" spans="1:17" ht="15" customHeight="1" x14ac:dyDescent="0.3">
      <c r="A23" s="91">
        <f>_xlfn.RANK.EQ(F23,$F$6:$F$28,0)</f>
        <v>18</v>
      </c>
      <c r="B23" s="77" t="s">
        <v>106</v>
      </c>
      <c r="C23" s="7" t="s">
        <v>107</v>
      </c>
      <c r="D23" s="7" t="s">
        <v>22</v>
      </c>
      <c r="E23" s="88">
        <f>VLOOKUP(C23,Lookups!$E$2:$F$47,2,FALSE)</f>
        <v>0.92</v>
      </c>
      <c r="F23" s="8">
        <f>IFERROR((G23+H23),G23)</f>
        <v>1184.4367083914185</v>
      </c>
      <c r="G23" s="8">
        <f>IF(COUNT(J23:Q23)&lt;5,SUM(J23:Q23),LARGE(J23:Q23,1)+LARGE(J23:Q23,2)+LARGE(J23:Q23,3)+LARGE(J23:Q23,4)+LARGE(J23:Q23,5))</f>
        <v>1184.4367083914185</v>
      </c>
      <c r="H23" s="8" t="str">
        <f>IFERROR((IF(COUNT(J23:Q23)&gt;4,"",IF(D23="Y",AVERAGE(J23:Q23),""))),"")</f>
        <v/>
      </c>
      <c r="I23" s="8">
        <f>COUNT(J23:Q23)</f>
        <v>2</v>
      </c>
      <c r="J23" s="9">
        <f>VLOOKUP(Table1[[#This Row],[Name]],Teifi!$AV$7:$BF$34,11,FALSE)</f>
        <v>693.35064185778162</v>
      </c>
      <c r="K23" s="9" t="str">
        <f>VLOOKUP(Table1[[#This Row],[Name]],Hafren!$B$7:$K$34,8,FALSE)</f>
        <v/>
      </c>
      <c r="L23" s="9">
        <f>VLOOKUP(Table1[[#This Row],[Name]],Carneddau!$B$7:$K$34,8,FALSE)</f>
        <v>491.08606653363682</v>
      </c>
      <c r="M23" s="9" t="str">
        <f>VLOOKUP(Table1[[#This Row],[Name]],Foel_Goch!$B$7:$K$33,8,FALSE)</f>
        <v/>
      </c>
      <c r="N23" s="9" t="str">
        <f>VLOOKUP(Table1[[#This Row],[Name]],Gwanas!$Z$7:$AJ$34,11,FALSE)</f>
        <v/>
      </c>
      <c r="O23" s="9" t="str">
        <f>VLOOKUP(Table1[[#This Row],[Name]],Maenarthur!$B$7:$K$34,8,FALSE)</f>
        <v/>
      </c>
      <c r="P23" s="9" t="str">
        <f>VLOOKUP(Table1[[#This Row],[Name]],Allt_Goch!$B$7:$K$34,8,FALSE)</f>
        <v/>
      </c>
      <c r="Q23" s="32" t="str">
        <f>VLOOKUP(Table1[[#This Row],[Name]],Mathrafal!$B$7:$K$34,8,FALSE)</f>
        <v/>
      </c>
    </row>
    <row r="24" spans="1:17" ht="15" customHeight="1" x14ac:dyDescent="0.3">
      <c r="A24" s="91">
        <f>_xlfn.RANK.EQ(F24,$F$6:$F$28,0)</f>
        <v>19</v>
      </c>
      <c r="B24" s="79" t="s">
        <v>55</v>
      </c>
      <c r="C24" s="7" t="s">
        <v>45</v>
      </c>
      <c r="D24" s="7" t="s">
        <v>22</v>
      </c>
      <c r="E24" s="88">
        <f>VLOOKUP(C24,Lookups!$E$2:$F$47,2,FALSE)</f>
        <v>0.67</v>
      </c>
      <c r="F24" s="8">
        <f>IFERROR((G24+H24),G24)</f>
        <v>918.66376180101668</v>
      </c>
      <c r="G24" s="8">
        <f>IF(COUNT(J24:Q24)&lt;5,SUM(J24:Q24),LARGE(J24:Q24,1)+LARGE(J24:Q24,2)+LARGE(J24:Q24,3)+LARGE(J24:Q24,4)+LARGE(J24:Q24,5))</f>
        <v>918.66376180101668</v>
      </c>
      <c r="H24" s="8" t="str">
        <f>IFERROR((IF(COUNT(J24:Q24)&gt;4,"",IF(D24="Y",AVERAGE(J24:Q24),""))),"")</f>
        <v/>
      </c>
      <c r="I24" s="8">
        <f>COUNT(J24:Q24)</f>
        <v>1</v>
      </c>
      <c r="J24" s="9">
        <f>VLOOKUP(Table1[[#This Row],[Name]],Teifi!$AV$7:$BF$34,11,FALSE)</f>
        <v>918.66376180101668</v>
      </c>
      <c r="K24" s="9" t="str">
        <f>VLOOKUP(Table1[[#This Row],[Name]],Hafren!$B$7:$K$34,8,FALSE)</f>
        <v/>
      </c>
      <c r="L24" s="9" t="str">
        <f>VLOOKUP(Table1[[#This Row],[Name]],Carneddau!$B$7:$K$34,8,FALSE)</f>
        <v/>
      </c>
      <c r="M24" s="9" t="str">
        <f>VLOOKUP(Table1[[#This Row],[Name]],Foel_Goch!$B$7:$K$33,8,FALSE)</f>
        <v/>
      </c>
      <c r="N24" s="9" t="str">
        <f>VLOOKUP(Table1[[#This Row],[Name]],Gwanas!$Z$7:$AJ$34,11,FALSE)</f>
        <v/>
      </c>
      <c r="O24" s="9" t="str">
        <f>VLOOKUP(Table1[[#This Row],[Name]],Maenarthur!$B$7:$K$34,8,FALSE)</f>
        <v/>
      </c>
      <c r="P24" s="35" t="str">
        <f>VLOOKUP(Table1[[#This Row],[Name]],Allt_Goch!$B$7:$K$34,8,FALSE)</f>
        <v/>
      </c>
      <c r="Q24" s="32" t="str">
        <f>VLOOKUP(Table1[[#This Row],[Name]],Mathrafal!$B$7:$K$34,8,FALSE)</f>
        <v/>
      </c>
    </row>
    <row r="25" spans="1:17" ht="15" customHeight="1" x14ac:dyDescent="0.3">
      <c r="A25" s="91">
        <f>_xlfn.RANK.EQ(F25,$F$6:$F$28,0)</f>
        <v>20</v>
      </c>
      <c r="B25" s="77" t="s">
        <v>57</v>
      </c>
      <c r="C25" s="7" t="s">
        <v>49</v>
      </c>
      <c r="D25" s="7" t="s">
        <v>22</v>
      </c>
      <c r="E25" s="88">
        <f>VLOOKUP(C25,Lookups!$E$2:$F$47,2,FALSE)</f>
        <v>0.7</v>
      </c>
      <c r="F25" s="8">
        <f>IFERROR((G25+H25),G25)</f>
        <v>754.36772046589033</v>
      </c>
      <c r="G25" s="8">
        <f>IF(COUNT(J25:Q25)&lt;5,SUM(J25:Q25),LARGE(J25:Q25,1)+LARGE(J25:Q25,2)+LARGE(J25:Q25,3)+LARGE(J25:Q25,4)+LARGE(J25:Q25,5))</f>
        <v>754.36772046589033</v>
      </c>
      <c r="H25" s="8" t="str">
        <f>IFERROR((IF(COUNT(J25:Q25)&gt;4,"",IF(D25="Y",AVERAGE(J25:Q25),""))),"")</f>
        <v/>
      </c>
      <c r="I25" s="8">
        <f>COUNT(J25:Q25)</f>
        <v>1</v>
      </c>
      <c r="J25" s="9" t="str">
        <f>VLOOKUP(Table1[[#This Row],[Name]],Teifi!$AV$7:$BF$34,11,FALSE)</f>
        <v xml:space="preserve"> </v>
      </c>
      <c r="K25" s="9">
        <f>VLOOKUP(Table1[[#This Row],[Name]],Hafren!$B$7:$K$34,8,FALSE)</f>
        <v>754.36772046589033</v>
      </c>
      <c r="L25" s="9" t="str">
        <f>VLOOKUP(Table1[[#This Row],[Name]],Carneddau!$B$7:$K$34,8,FALSE)</f>
        <v/>
      </c>
      <c r="M25" s="9" t="str">
        <f>VLOOKUP(Table1[[#This Row],[Name]],Foel_Goch!$B$7:$K$33,8,FALSE)</f>
        <v/>
      </c>
      <c r="N25" s="9" t="str">
        <f>VLOOKUP(Table1[[#This Row],[Name]],Gwanas!$Z$7:$AJ$34,11,FALSE)</f>
        <v/>
      </c>
      <c r="O25" s="9" t="str">
        <f>VLOOKUP(Table1[[#This Row],[Name]],Maenarthur!$B$7:$K$34,8,FALSE)</f>
        <v/>
      </c>
      <c r="P25" s="35" t="str">
        <f>VLOOKUP(Table1[[#This Row],[Name]],Allt_Goch!$B$7:$K$34,8,FALSE)</f>
        <v/>
      </c>
      <c r="Q25" s="32" t="str">
        <f>VLOOKUP(Table1[[#This Row],[Name]],Mathrafal!$B$7:$K$34,8,FALSE)</f>
        <v/>
      </c>
    </row>
    <row r="26" spans="1:17" ht="15" customHeight="1" x14ac:dyDescent="0.3">
      <c r="A26" s="91">
        <f>_xlfn.RANK.EQ(F26,$F$6:$F$28,0)</f>
        <v>21</v>
      </c>
      <c r="B26" s="77" t="s">
        <v>46</v>
      </c>
      <c r="C26" s="7" t="s">
        <v>47</v>
      </c>
      <c r="D26" s="7" t="s">
        <v>22</v>
      </c>
      <c r="E26" s="88">
        <f>VLOOKUP(C26,Lookups!$E$2:$F$47,2,FALSE)</f>
        <v>0.8</v>
      </c>
      <c r="F26" s="8">
        <f>IFERROR((G26+H26),G26)</f>
        <v>538.05813605034461</v>
      </c>
      <c r="G26" s="8">
        <f>IF(COUNT(J26:Q26)&lt;5,SUM(J26:Q26),LARGE(J26:Q26,1)+LARGE(J26:Q26,2)+LARGE(J26:Q26,3)+LARGE(J26:Q26,4)+LARGE(J26:Q26,5))</f>
        <v>538.05813605034461</v>
      </c>
      <c r="H26" s="8" t="str">
        <f>IFERROR((IF(COUNT(J26:Q26)&gt;4,"",IF(D26="Y",AVERAGE(J26:Q26),""))),"")</f>
        <v/>
      </c>
      <c r="I26" s="8">
        <f>COUNT(J26:Q26)</f>
        <v>1</v>
      </c>
      <c r="J26" s="9" t="str">
        <f>VLOOKUP(Table1[[#This Row],[Name]],Teifi!$AV$7:$BF$34,11,FALSE)</f>
        <v xml:space="preserve"> </v>
      </c>
      <c r="K26" s="9" t="str">
        <f>VLOOKUP(Table1[[#This Row],[Name]],Hafren!$B$7:$K$34,8,FALSE)</f>
        <v/>
      </c>
      <c r="L26" s="9" t="str">
        <f>VLOOKUP(Table1[[#This Row],[Name]],Carneddau!$B$7:$K$34,8,FALSE)</f>
        <v/>
      </c>
      <c r="M26" s="9" t="str">
        <f>VLOOKUP(Table1[[#This Row],[Name]],Foel_Goch!$B$7:$K$33,8,FALSE)</f>
        <v/>
      </c>
      <c r="N26" s="9">
        <f>VLOOKUP(Table1[[#This Row],[Name]],Gwanas!$Z$7:$AJ$34,11,FALSE)</f>
        <v>538.05813605034461</v>
      </c>
      <c r="O26" s="9" t="str">
        <f>VLOOKUP(Table1[[#This Row],[Name]],Maenarthur!$B$7:$K$34,8,FALSE)</f>
        <v/>
      </c>
      <c r="P26" s="9" t="str">
        <f>VLOOKUP(Table1[[#This Row],[Name]],Allt_Goch!$B$7:$K$34,8,FALSE)</f>
        <v/>
      </c>
      <c r="Q26" s="32" t="str">
        <f>VLOOKUP(Table1[[#This Row],[Name]],Mathrafal!$B$7:$K$34,8,FALSE)</f>
        <v/>
      </c>
    </row>
    <row r="27" spans="1:17" ht="15" customHeight="1" x14ac:dyDescent="0.3">
      <c r="A27" s="91">
        <f>_xlfn.RANK.EQ(F27,$F$6:$F$28,0)</f>
        <v>22</v>
      </c>
      <c r="B27" s="77" t="s">
        <v>102</v>
      </c>
      <c r="C27" s="7" t="s">
        <v>103</v>
      </c>
      <c r="D27" s="7" t="s">
        <v>22</v>
      </c>
      <c r="E27" s="88">
        <f>VLOOKUP(C27,Lookups!$E$2:$F$47,2,FALSE)</f>
        <v>0.92</v>
      </c>
      <c r="F27" s="8">
        <f>IFERROR((G27+H27),G27)</f>
        <v>487.16564022428537</v>
      </c>
      <c r="G27" s="8">
        <f>IF(COUNT(J27:Q27)&lt;5,SUM(J27:Q27),LARGE(J27:Q27,1)+LARGE(J27:Q27,2)+LARGE(J27:Q27,3)+LARGE(J27:Q27,4)+LARGE(J27:Q27,5))</f>
        <v>487.16564022428537</v>
      </c>
      <c r="H27" s="8" t="str">
        <f>IFERROR((IF(COUNT(J27:Q27)&gt;4,"",IF(D27="Y",AVERAGE(J27:Q27),""))),"")</f>
        <v/>
      </c>
      <c r="I27" s="8">
        <f>COUNT(J27:Q27)</f>
        <v>1</v>
      </c>
      <c r="J27" s="9" t="str">
        <f>VLOOKUP(Table1[[#This Row],[Name]],Teifi!$AV$7:$BF$34,11,FALSE)</f>
        <v xml:space="preserve"> </v>
      </c>
      <c r="K27" s="9" t="str">
        <f>VLOOKUP(Table1[[#This Row],[Name]],Hafren!$B$7:$K$34,8,FALSE)</f>
        <v/>
      </c>
      <c r="L27" s="9" t="str">
        <f>VLOOKUP(Table1[[#This Row],[Name]],Carneddau!$B$7:$K$34,8,FALSE)</f>
        <v/>
      </c>
      <c r="M27" s="9">
        <f>VLOOKUP(Table1[[#This Row],[Name]],Foel_Goch!$B$7:$K$33,8,FALSE)</f>
        <v>487.16564022428537</v>
      </c>
      <c r="N27" s="9" t="str">
        <f>VLOOKUP(Table1[[#This Row],[Name]],Gwanas!$Z$7:$AJ$34,11,FALSE)</f>
        <v>-</v>
      </c>
      <c r="O27" s="9" t="str">
        <f>VLOOKUP(Table1[[#This Row],[Name]],Maenarthur!$B$7:$K$34,8,FALSE)</f>
        <v/>
      </c>
      <c r="P27" s="35" t="str">
        <f>VLOOKUP(Table1[[#This Row],[Name]],Allt_Goch!$B$7:$K$34,8,FALSE)</f>
        <v/>
      </c>
      <c r="Q27" s="32" t="str">
        <f>VLOOKUP(Table1[[#This Row],[Name]],Mathrafal!$B$7:$K$34,8,FALSE)</f>
        <v/>
      </c>
    </row>
    <row r="28" spans="1:17" ht="15" customHeight="1" x14ac:dyDescent="0.3">
      <c r="A28" s="91">
        <f>_xlfn.RANK.EQ(F28,$F$6:$F$28,0)</f>
        <v>23</v>
      </c>
      <c r="B28" s="77" t="s">
        <v>37</v>
      </c>
      <c r="C28" s="7" t="s">
        <v>27</v>
      </c>
      <c r="D28" s="7" t="s">
        <v>22</v>
      </c>
      <c r="E28" s="88">
        <f>VLOOKUP(C28,Lookups!$E$2:$F$47,2,FALSE)</f>
        <v>0.86</v>
      </c>
      <c r="F28" s="8">
        <f>IFERROR((G28+H28),G28)</f>
        <v>392.61506197805483</v>
      </c>
      <c r="G28" s="8">
        <f>IF(COUNT(J28:Q28)&lt;5,SUM(J28:Q28),LARGE(J28:Q28,1)+LARGE(J28:Q28,2)+LARGE(J28:Q28,3)+LARGE(J28:Q28,4)+LARGE(J28:Q28,5))</f>
        <v>392.61506197805483</v>
      </c>
      <c r="H28" s="8" t="str">
        <f>IFERROR((IF(COUNT(J28:Q28)&gt;4,"",IF(D28="Y",AVERAGE(J28:Q28),""))),"")</f>
        <v/>
      </c>
      <c r="I28" s="8">
        <f>COUNT(J28:Q28)</f>
        <v>1</v>
      </c>
      <c r="J28" s="9" t="str">
        <f>VLOOKUP(Table1[[#This Row],[Name]],Teifi!$AV$7:$BF$34,11,FALSE)</f>
        <v xml:space="preserve"> </v>
      </c>
      <c r="K28" s="9" t="str">
        <f>VLOOKUP(Table1[[#This Row],[Name]],Hafren!$B$7:$K$34,8,FALSE)</f>
        <v/>
      </c>
      <c r="L28" s="9">
        <f>VLOOKUP(Table1[[#This Row],[Name]],Carneddau!$B$7:$K$34,8,FALSE)</f>
        <v>392.61506197805483</v>
      </c>
      <c r="M28" s="9" t="str">
        <f>VLOOKUP(Table1[[#This Row],[Name]],Foel_Goch!$B$7:$K$33,8,FALSE)</f>
        <v/>
      </c>
      <c r="N28" s="9" t="str">
        <f>VLOOKUP(Table1[[#This Row],[Name]],Gwanas!$Z$7:$AJ$34,11,FALSE)</f>
        <v/>
      </c>
      <c r="O28" s="9" t="str">
        <f>VLOOKUP(Table1[[#This Row],[Name]],Maenarthur!$B$7:$K$34,8,FALSE)</f>
        <v/>
      </c>
      <c r="P28" s="9" t="str">
        <f>VLOOKUP(Table1[[#This Row],[Name]],Allt_Goch!$B$7:$K$34,8,FALSE)</f>
        <v/>
      </c>
      <c r="Q28" s="32" t="str">
        <f>VLOOKUP(Table1[[#This Row],[Name]],Mathrafal!$B$7:$K$34,8,FALSE)</f>
        <v/>
      </c>
    </row>
    <row r="29" spans="1:17" ht="4.5" customHeight="1" x14ac:dyDescent="0.3">
      <c r="A29" s="11"/>
      <c r="B29" s="12"/>
      <c r="C29" s="11"/>
      <c r="D29" s="11"/>
      <c r="E29" s="104"/>
      <c r="F29" s="11"/>
      <c r="G29" s="11"/>
      <c r="H29" s="11"/>
      <c r="I29" s="5"/>
      <c r="P29" s="5"/>
    </row>
    <row r="30" spans="1:17" ht="14.45" customHeight="1" x14ac:dyDescent="0.3">
      <c r="A30" s="99"/>
      <c r="B30" s="99"/>
      <c r="C30" s="99"/>
      <c r="D30" s="99"/>
      <c r="E30" s="105"/>
      <c r="F30" s="99"/>
      <c r="G30" s="99"/>
      <c r="H30" s="99"/>
      <c r="I30" s="99" t="s">
        <v>53</v>
      </c>
      <c r="J30" s="99"/>
      <c r="K30" s="99"/>
      <c r="L30" s="99"/>
      <c r="M30" s="99"/>
      <c r="N30" s="99"/>
      <c r="O30" s="99"/>
      <c r="P30" s="99"/>
      <c r="Q30" s="99"/>
    </row>
    <row r="31" spans="1:17" ht="14.45" customHeight="1" x14ac:dyDescent="0.25">
      <c r="A31" s="68" t="s">
        <v>8</v>
      </c>
      <c r="B31" s="69" t="s">
        <v>9</v>
      </c>
      <c r="C31" s="69" t="s">
        <v>10</v>
      </c>
      <c r="D31" s="69" t="s">
        <v>11</v>
      </c>
      <c r="E31" s="106" t="s">
        <v>146</v>
      </c>
      <c r="F31" s="69" t="s">
        <v>13</v>
      </c>
      <c r="G31" s="69" t="s">
        <v>147</v>
      </c>
      <c r="H31" s="69" t="s">
        <v>14</v>
      </c>
      <c r="I31" s="70" t="s">
        <v>15</v>
      </c>
      <c r="J31" s="68" t="s">
        <v>123</v>
      </c>
      <c r="K31" s="68" t="s">
        <v>101</v>
      </c>
      <c r="L31" s="68" t="s">
        <v>145</v>
      </c>
      <c r="M31" s="71" t="s">
        <v>128</v>
      </c>
      <c r="N31" s="72" t="s">
        <v>99</v>
      </c>
      <c r="O31" s="68" t="s">
        <v>98</v>
      </c>
      <c r="P31" s="71" t="s">
        <v>129</v>
      </c>
      <c r="Q31" s="68" t="s">
        <v>127</v>
      </c>
    </row>
    <row r="32" spans="1:17" ht="15" customHeight="1" x14ac:dyDescent="0.3">
      <c r="A32" s="92">
        <f t="shared" ref="A32:A54" si="0">_xlfn.RANK.EQ(F32,$F$32:$F$54,0)</f>
        <v>1</v>
      </c>
      <c r="B32" s="80" t="s">
        <v>106</v>
      </c>
      <c r="C32" s="36" t="s">
        <v>107</v>
      </c>
      <c r="D32" s="36" t="s">
        <v>22</v>
      </c>
      <c r="E32" s="107">
        <f>VLOOKUP(C32,Lookups!$E$2:$F$47,2,FALSE)</f>
        <v>0.92</v>
      </c>
      <c r="F32" s="37">
        <f t="shared" ref="F32:F54" si="1">IFERROR((G32+H32),G32)</f>
        <v>3802.1773321329943</v>
      </c>
      <c r="G32" s="37">
        <f t="shared" ref="G32:G54" si="2">IF(COUNT(J32:Q32)&lt;5,SUM(J32:Q32),LARGE(J32:Q32,1)+LARGE(J32:Q32,2)+LARGE(J32:Q32,3)+LARGE(J32:Q32,4)+LARGE(J32:Q32,5))</f>
        <v>3802.1773321329943</v>
      </c>
      <c r="H32" s="38" t="str">
        <f t="shared" ref="H32:H54" si="3">IFERROR((IF(COUNT(J32:Q32)&gt;4,"",IF(D32="Y",AVERAGE(J32:Q32),""))),"")</f>
        <v/>
      </c>
      <c r="I32" s="37">
        <f t="shared" ref="I32:I54" si="4">COUNT(J32:Q32)</f>
        <v>5</v>
      </c>
      <c r="J32" s="39" t="str">
        <f>VLOOKUP(Table3[[#This Row],[Name]],Teifi!$B$38:$K$60,8,FALSE)</f>
        <v/>
      </c>
      <c r="K32" s="39">
        <f>VLOOKUP(Table3[[#This Row],[Name]],Hafren!$B$38:$K$61,8,FALSE)</f>
        <v>776.8660270803565</v>
      </c>
      <c r="L32" s="39" t="str">
        <f>VLOOKUP(Table3[[#This Row],[Name]],Carneddau!$B$38:$K$60,8,FALSE)</f>
        <v/>
      </c>
      <c r="M32" s="39">
        <f>VLOOKUP(Table3[[#This Row],[Name]],Foel_Goch!$B$37:$K$60,8,FALSE)</f>
        <v>715.24564687599343</v>
      </c>
      <c r="N32" s="39">
        <f>VLOOKUP(Table3[[#This Row],[Name]],Gwanas!$B$38:$K$62,8,FALSE)</f>
        <v>972.92151470277111</v>
      </c>
      <c r="O32" s="39">
        <f>VLOOKUP(Table3[[#This Row],[Name]],Maenarthur!$B$38:$K$62,8,FALSE)</f>
        <v>751.74525413349659</v>
      </c>
      <c r="P32" s="39">
        <f>VLOOKUP(Table3[[#This Row],[Name]],Allt_Goch!$B$38:$K$62,8,FALSE)</f>
        <v>585.39888934037651</v>
      </c>
      <c r="Q32" s="40" t="str">
        <f>VLOOKUP(Table3[[#This Row],[Name]],Mathrafal!$B$38:$K$61,8,FALSE)</f>
        <v/>
      </c>
    </row>
    <row r="33" spans="1:17" ht="15" customHeight="1" x14ac:dyDescent="0.3">
      <c r="A33" s="93">
        <f t="shared" si="0"/>
        <v>2</v>
      </c>
      <c r="B33" s="81" t="s">
        <v>42</v>
      </c>
      <c r="C33" s="41" t="s">
        <v>43</v>
      </c>
      <c r="D33" s="41" t="s">
        <v>22</v>
      </c>
      <c r="E33" s="108">
        <f>VLOOKUP(C33,Lookups!$E$2:$F$47,2,FALSE)</f>
        <v>0.64</v>
      </c>
      <c r="F33" s="42">
        <f t="shared" si="1"/>
        <v>2921.9586087503931</v>
      </c>
      <c r="G33" s="42">
        <f t="shared" si="2"/>
        <v>2921.9586087503931</v>
      </c>
      <c r="H33" s="43" t="str">
        <f t="shared" si="3"/>
        <v/>
      </c>
      <c r="I33" s="42">
        <f t="shared" si="4"/>
        <v>3</v>
      </c>
      <c r="J33" s="44" t="str">
        <f>VLOOKUP(Table3[[#This Row],[Name]],Teifi!$B$38:$K$60,8,FALSE)</f>
        <v/>
      </c>
      <c r="K33" s="44">
        <f>VLOOKUP(Table3[[#This Row],[Name]],Hafren!$B$38:$K$61,8,FALSE)</f>
        <v>1000</v>
      </c>
      <c r="L33" s="44">
        <f>VLOOKUP(Table3[[#This Row],[Name]],Carneddau!$B$38:$K$60,8,FALSE)</f>
        <v>921.9586087503933</v>
      </c>
      <c r="M33" s="44" t="str">
        <f>VLOOKUP(Table3[[#This Row],[Name]],Foel_Goch!$B$37:$K$60,8,FALSE)</f>
        <v/>
      </c>
      <c r="N33" s="44" t="str">
        <f>VLOOKUP(Table3[[#This Row],[Name]],Gwanas!$B$38:$K$62,8,FALSE)</f>
        <v/>
      </c>
      <c r="O33" s="44" t="str">
        <f>VLOOKUP(Table3[[#This Row],[Name]],Maenarthur!$B$38:$K$62,8,FALSE)</f>
        <v/>
      </c>
      <c r="P33" s="44">
        <f>VLOOKUP(Table3[[#This Row],[Name]],Allt_Goch!$B$38:$K$62,8,FALSE)</f>
        <v>999.99999999999989</v>
      </c>
      <c r="Q33" s="45" t="str">
        <f>VLOOKUP(Table3[[#This Row],[Name]],Mathrafal!$B$38:$K$61,8,FALSE)</f>
        <v/>
      </c>
    </row>
    <row r="34" spans="1:17" ht="15" customHeight="1" x14ac:dyDescent="0.3">
      <c r="A34" s="94">
        <f t="shared" si="0"/>
        <v>3</v>
      </c>
      <c r="B34" s="80" t="s">
        <v>65</v>
      </c>
      <c r="C34" s="36" t="s">
        <v>108</v>
      </c>
      <c r="D34" s="36" t="s">
        <v>22</v>
      </c>
      <c r="E34" s="107">
        <f>VLOOKUP(C34,Lookups!$E$2:$F$47,2,FALSE)</f>
        <v>0.65</v>
      </c>
      <c r="F34" s="37">
        <f t="shared" si="1"/>
        <v>2728.0082215563593</v>
      </c>
      <c r="G34" s="37">
        <f t="shared" si="2"/>
        <v>2728.0082215563593</v>
      </c>
      <c r="H34" s="38" t="str">
        <f t="shared" si="3"/>
        <v/>
      </c>
      <c r="I34" s="37">
        <f t="shared" si="4"/>
        <v>3</v>
      </c>
      <c r="J34" s="49" t="str">
        <f>VLOOKUP(Table3[[#This Row],[Name]],Teifi!$B$38:$K$60,8,FALSE)</f>
        <v/>
      </c>
      <c r="K34" s="49">
        <f>VLOOKUP(Table3[[#This Row],[Name]],Hafren!$B$38:$K$61,8,FALSE)</f>
        <v>955.15995181367964</v>
      </c>
      <c r="L34" s="49" t="str">
        <f>VLOOKUP(Table3[[#This Row],[Name]],Carneddau!$B$38:$K$60,8,FALSE)</f>
        <v/>
      </c>
      <c r="M34" s="50">
        <f>VLOOKUP(Table3[[#This Row],[Name]],Foel_Goch!$B$37:$K$60,8,FALSE)</f>
        <v>772.84826974267969</v>
      </c>
      <c r="N34" s="49" t="str">
        <f>VLOOKUP(Table3[[#This Row],[Name]],Gwanas!$B$38:$K$62,8,FALSE)</f>
        <v/>
      </c>
      <c r="O34" s="49">
        <f>VLOOKUP(Table3[[#This Row],[Name]],Maenarthur!$B$38:$K$62,8,FALSE)</f>
        <v>1000</v>
      </c>
      <c r="P34" s="50" t="str">
        <f>VLOOKUP(Table3[[#This Row],[Name]],Allt_Goch!$B$38:$K$62,8,FALSE)</f>
        <v/>
      </c>
      <c r="Q34" s="51" t="str">
        <f>VLOOKUP(Table3[[#This Row],[Name]],Mathrafal!$B$38:$K$61,8,FALSE)</f>
        <v/>
      </c>
    </row>
    <row r="35" spans="1:17" ht="15" customHeight="1" x14ac:dyDescent="0.3">
      <c r="A35" s="93">
        <f t="shared" si="0"/>
        <v>4</v>
      </c>
      <c r="B35" s="81" t="s">
        <v>102</v>
      </c>
      <c r="C35" s="41" t="s">
        <v>103</v>
      </c>
      <c r="D35" s="41" t="s">
        <v>22</v>
      </c>
      <c r="E35" s="108">
        <f>VLOOKUP(C35,Lookups!$E$2:$F$47,2,FALSE)</f>
        <v>0.92</v>
      </c>
      <c r="F35" s="42">
        <f t="shared" si="1"/>
        <v>2599.7319198581472</v>
      </c>
      <c r="G35" s="42">
        <f t="shared" si="2"/>
        <v>2599.7319198581472</v>
      </c>
      <c r="H35" s="43" t="str">
        <f t="shared" si="3"/>
        <v/>
      </c>
      <c r="I35" s="42">
        <f t="shared" si="4"/>
        <v>3</v>
      </c>
      <c r="J35" s="46" t="str">
        <f>VLOOKUP(Table3[[#This Row],[Name]],Teifi!$B$38:$K$60,8,FALSE)</f>
        <v/>
      </c>
      <c r="K35" s="46" t="str">
        <f>VLOOKUP(Table3[[#This Row],[Name]],Hafren!$B$38:$K$61,8,FALSE)</f>
        <v/>
      </c>
      <c r="L35" s="46" t="str">
        <f>VLOOKUP(Table3[[#This Row],[Name]],Carneddau!$B$38:$K$60,8,FALSE)</f>
        <v/>
      </c>
      <c r="M35" s="46" t="str">
        <f>VLOOKUP(Table3[[#This Row],[Name]],Foel_Goch!$B$37:$K$60,8,FALSE)</f>
        <v/>
      </c>
      <c r="N35" s="46">
        <f>VLOOKUP(Table3[[#This Row],[Name]],Gwanas!$B$38:$K$62,8,FALSE)</f>
        <v>1000</v>
      </c>
      <c r="O35" s="46">
        <f>VLOOKUP(Table3[[#This Row],[Name]],Maenarthur!$B$38:$K$62,8,FALSE)</f>
        <v>901.58636897767326</v>
      </c>
      <c r="P35" s="46" t="str">
        <f>VLOOKUP(Table3[[#This Row],[Name]],Allt_Goch!$B$38:$K$62,8,FALSE)</f>
        <v/>
      </c>
      <c r="Q35" s="47">
        <f>VLOOKUP(Table3[[#This Row],[Name]],Mathrafal!$B$38:$K$61,8,FALSE)</f>
        <v>698.14555088047359</v>
      </c>
    </row>
    <row r="36" spans="1:17" ht="15" customHeight="1" x14ac:dyDescent="0.3">
      <c r="A36" s="92">
        <f t="shared" si="0"/>
        <v>5</v>
      </c>
      <c r="B36" s="80" t="s">
        <v>57</v>
      </c>
      <c r="C36" s="36" t="s">
        <v>49</v>
      </c>
      <c r="D36" s="36" t="s">
        <v>22</v>
      </c>
      <c r="E36" s="107">
        <f>VLOOKUP(C36,Lookups!$E$2:$F$47,2,FALSE)</f>
        <v>0.7</v>
      </c>
      <c r="F36" s="37">
        <f t="shared" si="1"/>
        <v>2566.9790521349441</v>
      </c>
      <c r="G36" s="37">
        <f t="shared" si="2"/>
        <v>2566.9790521349441</v>
      </c>
      <c r="H36" s="38" t="str">
        <f t="shared" si="3"/>
        <v/>
      </c>
      <c r="I36" s="49">
        <f t="shared" si="4"/>
        <v>3</v>
      </c>
      <c r="J36" s="39" t="str">
        <f>VLOOKUP(Table3[[#This Row],[Name]],Teifi!$B$38:$K$60,8,FALSE)</f>
        <v/>
      </c>
      <c r="K36" s="39" t="str">
        <f>VLOOKUP(Table3[[#This Row],[Name]],Hafren!$B$38:$K$61,8,FALSE)</f>
        <v/>
      </c>
      <c r="L36" s="39" t="str">
        <f>VLOOKUP(Table3[[#This Row],[Name]],Carneddau!$B$38:$K$60,8,FALSE)</f>
        <v/>
      </c>
      <c r="M36" s="39">
        <f>VLOOKUP(Table3[[#This Row],[Name]],Foel_Goch!$B$37:$K$60,8,FALSE)</f>
        <v>757.56838905775078</v>
      </c>
      <c r="N36" s="39" t="str">
        <f>VLOOKUP(Table3[[#This Row],[Name]],Gwanas!$B$38:$K$62,8,FALSE)</f>
        <v/>
      </c>
      <c r="O36" s="39" t="str">
        <f>VLOOKUP(Table3[[#This Row],[Name]],Maenarthur!$B$38:$K$62,8,FALSE)</f>
        <v/>
      </c>
      <c r="P36" s="39">
        <f>VLOOKUP(Table3[[#This Row],[Name]],Allt_Goch!$B$38:$K$62,8,FALSE)</f>
        <v>809.41066307719325</v>
      </c>
      <c r="Q36" s="40">
        <f>VLOOKUP(Table3[[#This Row],[Name]],Mathrafal!$B$38:$K$61,8,FALSE)</f>
        <v>1000</v>
      </c>
    </row>
    <row r="37" spans="1:17" ht="15" customHeight="1" x14ac:dyDescent="0.3">
      <c r="A37" s="93">
        <f t="shared" si="0"/>
        <v>6</v>
      </c>
      <c r="B37" s="81" t="s">
        <v>67</v>
      </c>
      <c r="C37" s="41" t="s">
        <v>34</v>
      </c>
      <c r="D37" s="41" t="s">
        <v>22</v>
      </c>
      <c r="E37" s="108">
        <f>VLOOKUP(C37,Lookups!$E$2:$F$47,2,FALSE)</f>
        <v>0.8</v>
      </c>
      <c r="F37" s="42">
        <f t="shared" si="1"/>
        <v>2453.6518180144753</v>
      </c>
      <c r="G37" s="42">
        <f t="shared" si="2"/>
        <v>2453.6518180144753</v>
      </c>
      <c r="H37" s="43" t="str">
        <f t="shared" si="3"/>
        <v/>
      </c>
      <c r="I37" s="42">
        <f t="shared" si="4"/>
        <v>3</v>
      </c>
      <c r="J37" s="46">
        <f>VLOOKUP(Table3[[#This Row],[Name]],Teifi!$B$38:$K$60,8,FALSE)</f>
        <v>1000</v>
      </c>
      <c r="K37" s="46">
        <f>VLOOKUP(Table3[[#This Row],[Name]],Hafren!$B$38:$K$61,8,FALSE)</f>
        <v>612.26941226941233</v>
      </c>
      <c r="L37" s="46">
        <f>VLOOKUP(Table3[[#This Row],[Name]],Carneddau!$B$38:$K$60,8,FALSE)</f>
        <v>841.38240574506278</v>
      </c>
      <c r="M37" s="46" t="str">
        <f>VLOOKUP(Table3[[#This Row],[Name]],Foel_Goch!$B$37:$K$60,8,FALSE)</f>
        <v/>
      </c>
      <c r="N37" s="46" t="str">
        <f>VLOOKUP(Table3[[#This Row],[Name]],Gwanas!$B$38:$K$62,8,FALSE)</f>
        <v/>
      </c>
      <c r="O37" s="46" t="str">
        <f>VLOOKUP(Table3[[#This Row],[Name]],Maenarthur!$B$38:$K$62,8,FALSE)</f>
        <v/>
      </c>
      <c r="P37" s="46" t="str">
        <f>VLOOKUP(Table3[[#This Row],[Name]],Allt_Goch!$B$38:$K$62,8,FALSE)</f>
        <v/>
      </c>
      <c r="Q37" s="47" t="str">
        <f>VLOOKUP(Table3[[#This Row],[Name]],Mathrafal!$B$38:$K$61,8,FALSE)</f>
        <v/>
      </c>
    </row>
    <row r="38" spans="1:17" ht="15" customHeight="1" x14ac:dyDescent="0.3">
      <c r="A38" s="92">
        <f t="shared" si="0"/>
        <v>7</v>
      </c>
      <c r="B38" s="80" t="s">
        <v>58</v>
      </c>
      <c r="C38" s="36" t="s">
        <v>59</v>
      </c>
      <c r="D38" s="36" t="s">
        <v>22</v>
      </c>
      <c r="E38" s="107">
        <f>VLOOKUP(C38,Lookups!$E$2:$F$47,2,FALSE)</f>
        <v>0.77</v>
      </c>
      <c r="F38" s="37">
        <f t="shared" si="1"/>
        <v>1873.8539355059993</v>
      </c>
      <c r="G38" s="37">
        <f t="shared" si="2"/>
        <v>1873.8539355059993</v>
      </c>
      <c r="H38" s="38" t="str">
        <f t="shared" si="3"/>
        <v/>
      </c>
      <c r="I38" s="37">
        <f t="shared" si="4"/>
        <v>3</v>
      </c>
      <c r="J38" s="39" t="str">
        <f>VLOOKUP(Table3[[#This Row],[Name]],Teifi!$B$38:$K$60,8,FALSE)</f>
        <v/>
      </c>
      <c r="K38" s="39">
        <f>VLOOKUP(Table3[[#This Row],[Name]],Hafren!$B$38:$K$61,8,FALSE)</f>
        <v>570.85859280276986</v>
      </c>
      <c r="L38" s="39">
        <f>VLOOKUP(Table3[[#This Row],[Name]],Carneddau!$B$38:$K$60,8,FALSE)</f>
        <v>507.61998635226325</v>
      </c>
      <c r="M38" s="39" t="str">
        <f>VLOOKUP(Table3[[#This Row],[Name]],Foel_Goch!$B$37:$K$60,8,FALSE)</f>
        <v/>
      </c>
      <c r="N38" s="39" t="str">
        <f>VLOOKUP(Table3[[#This Row],[Name]],Gwanas!$B$38:$K$62,8,FALSE)</f>
        <v/>
      </c>
      <c r="O38" s="39">
        <f>VLOOKUP(Table3[[#This Row],[Name]],Maenarthur!$B$38:$K$62,8,FALSE)</f>
        <v>795.37535635096629</v>
      </c>
      <c r="P38" s="39" t="str">
        <f>VLOOKUP(Table3[[#This Row],[Name]],Allt_Goch!$B$38:$K$62,8,FALSE)</f>
        <v/>
      </c>
      <c r="Q38" s="40" t="str">
        <f>VLOOKUP(Table3[[#This Row],[Name]],Mathrafal!$B$38:$K$61,8,FALSE)</f>
        <v/>
      </c>
    </row>
    <row r="39" spans="1:17" ht="15" customHeight="1" x14ac:dyDescent="0.3">
      <c r="A39" s="93">
        <f t="shared" si="0"/>
        <v>8</v>
      </c>
      <c r="B39" s="81" t="s">
        <v>61</v>
      </c>
      <c r="C39" s="41" t="s">
        <v>39</v>
      </c>
      <c r="D39" s="41" t="s">
        <v>22</v>
      </c>
      <c r="E39" s="108">
        <f>VLOOKUP(C39,Lookups!$E$2:$F$47,2,FALSE)</f>
        <v>0.9</v>
      </c>
      <c r="F39" s="42">
        <f t="shared" si="1"/>
        <v>1749.0175161273692</v>
      </c>
      <c r="G39" s="42">
        <f t="shared" si="2"/>
        <v>1749.0175161273692</v>
      </c>
      <c r="H39" s="43" t="str">
        <f t="shared" si="3"/>
        <v/>
      </c>
      <c r="I39" s="42">
        <f t="shared" si="4"/>
        <v>4</v>
      </c>
      <c r="J39" s="46">
        <f>VLOOKUP(Table3[[#This Row],[Name]],Teifi!$B$38:$K$60,8,FALSE)</f>
        <v>0</v>
      </c>
      <c r="K39" s="46" t="str">
        <f>VLOOKUP(Table3[[#This Row],[Name]],Hafren!$B$38:$K$61,8,FALSE)</f>
        <v/>
      </c>
      <c r="L39" s="46" t="str">
        <f>VLOOKUP(Table3[[#This Row],[Name]],Carneddau!$B$38:$K$60,8,FALSE)</f>
        <v/>
      </c>
      <c r="M39" s="46">
        <f>VLOOKUP(Table3[[#This Row],[Name]],Foel_Goch!$B$37:$K$60,8,FALSE)</f>
        <v>641.50629603231175</v>
      </c>
      <c r="N39" s="46" t="str">
        <f>VLOOKUP(Table3[[#This Row],[Name]],Gwanas!$B$38:$K$62,8,FALSE)</f>
        <v/>
      </c>
      <c r="O39" s="46" t="str">
        <f>VLOOKUP(Table3[[#This Row],[Name]],Maenarthur!$B$38:$K$62,8,FALSE)</f>
        <v/>
      </c>
      <c r="P39" s="46">
        <f>VLOOKUP(Table3[[#This Row],[Name]],Allt_Goch!$B$38:$K$62,8,FALSE)</f>
        <v>552.57501298493742</v>
      </c>
      <c r="Q39" s="47">
        <f>VLOOKUP(Table3[[#This Row],[Name]],Mathrafal!$B$38:$K$61,8,FALSE)</f>
        <v>554.93620711012011</v>
      </c>
    </row>
    <row r="40" spans="1:17" ht="15" customHeight="1" x14ac:dyDescent="0.3">
      <c r="A40" s="95">
        <f t="shared" si="0"/>
        <v>9</v>
      </c>
      <c r="B40" s="80" t="s">
        <v>114</v>
      </c>
      <c r="C40" s="36" t="s">
        <v>31</v>
      </c>
      <c r="D40" s="36" t="s">
        <v>22</v>
      </c>
      <c r="E40" s="107">
        <f>VLOOKUP(C40,Lookups!$E$2:$F$47,2,FALSE)</f>
        <v>0.82</v>
      </c>
      <c r="F40" s="37">
        <f t="shared" si="1"/>
        <v>1459.2614175335198</v>
      </c>
      <c r="G40" s="37">
        <f t="shared" si="2"/>
        <v>1459.2614175335198</v>
      </c>
      <c r="H40" s="52" t="str">
        <f t="shared" si="3"/>
        <v/>
      </c>
      <c r="I40" s="37">
        <f t="shared" si="4"/>
        <v>2</v>
      </c>
      <c r="J40" s="49" t="str">
        <f>VLOOKUP(Table3[[#This Row],[Name]],Teifi!$B$38:$K$60,8,FALSE)</f>
        <v/>
      </c>
      <c r="K40" s="49">
        <f>VLOOKUP(Table3[[#This Row],[Name]],Hafren!$B$38:$K$61,8,FALSE)</f>
        <v>807.65095353969775</v>
      </c>
      <c r="L40" s="49" t="str">
        <f>VLOOKUP(Table3[[#This Row],[Name]],Carneddau!$B$38:$K$60,8,FALSE)</f>
        <v/>
      </c>
      <c r="M40" s="49">
        <f>VLOOKUP(Table3[[#This Row],[Name]],Foel_Goch!$B$37:$K$60,8,FALSE)</f>
        <v>651.61046399382212</v>
      </c>
      <c r="N40" s="49" t="str">
        <f>VLOOKUP(Table3[[#This Row],[Name]],Gwanas!$B$38:$K$62,8,FALSE)</f>
        <v/>
      </c>
      <c r="O40" s="49" t="str">
        <f>VLOOKUP(Table3[[#This Row],[Name]],Maenarthur!$B$38:$K$62,8,FALSE)</f>
        <v/>
      </c>
      <c r="P40" s="49" t="str">
        <f>VLOOKUP(Table3[[#This Row],[Name]],Allt_Goch!$B$38:$K$62,8,FALSE)</f>
        <v/>
      </c>
      <c r="Q40" s="51" t="str">
        <f>VLOOKUP(Table3[[#This Row],[Name]],Mathrafal!$B$38:$K$61,8,FALSE)</f>
        <v/>
      </c>
    </row>
    <row r="41" spans="1:17" ht="15" customHeight="1" x14ac:dyDescent="0.3">
      <c r="A41" s="93">
        <f t="shared" si="0"/>
        <v>10</v>
      </c>
      <c r="B41" s="81" t="s">
        <v>60</v>
      </c>
      <c r="C41" s="41" t="s">
        <v>34</v>
      </c>
      <c r="D41" s="41" t="s">
        <v>22</v>
      </c>
      <c r="E41" s="108">
        <f>VLOOKUP(C41,Lookups!$E$2:$F$47,2,FALSE)</f>
        <v>0.8</v>
      </c>
      <c r="F41" s="42">
        <f t="shared" si="1"/>
        <v>1363.5590699959771</v>
      </c>
      <c r="G41" s="42">
        <f t="shared" si="2"/>
        <v>1363.5590699959771</v>
      </c>
      <c r="H41" s="43" t="str">
        <f t="shared" si="3"/>
        <v/>
      </c>
      <c r="I41" s="42">
        <f t="shared" si="4"/>
        <v>2</v>
      </c>
      <c r="J41" s="46" t="str">
        <f>VLOOKUP(Table3[[#This Row],[Name]],Teifi!$B$38:$K$60,8,FALSE)</f>
        <v/>
      </c>
      <c r="K41" s="46">
        <f>VLOOKUP(Table3[[#This Row],[Name]],Hafren!$B$38:$K$61,8,FALSE)</f>
        <v>725.94099694811803</v>
      </c>
      <c r="L41" s="46" t="str">
        <f>VLOOKUP(Table3[[#This Row],[Name]],Carneddau!$B$38:$K$60,8,FALSE)</f>
        <v/>
      </c>
      <c r="M41" s="46">
        <f>VLOOKUP(Table3[[#This Row],[Name]],Foel_Goch!$B$37:$K$60,8,FALSE)</f>
        <v>637.61807304785896</v>
      </c>
      <c r="N41" s="46" t="str">
        <f>VLOOKUP(Table3[[#This Row],[Name]],Gwanas!$B$38:$K$62,8,FALSE)</f>
        <v/>
      </c>
      <c r="O41" s="46" t="str">
        <f>VLOOKUP(Table3[[#This Row],[Name]],Maenarthur!$B$38:$K$62,8,FALSE)</f>
        <v/>
      </c>
      <c r="P41" s="46" t="str">
        <f>VLOOKUP(Table3[[#This Row],[Name]],Allt_Goch!$B$38:$K$62,8,FALSE)</f>
        <v/>
      </c>
      <c r="Q41" s="47" t="str">
        <f>VLOOKUP(Table3[[#This Row],[Name]],Mathrafal!$B$38:$K$61,8,FALSE)</f>
        <v/>
      </c>
    </row>
    <row r="42" spans="1:17" ht="15" customHeight="1" x14ac:dyDescent="0.3">
      <c r="A42" s="92">
        <f t="shared" si="0"/>
        <v>11</v>
      </c>
      <c r="B42" s="80" t="s">
        <v>55</v>
      </c>
      <c r="C42" s="36" t="s">
        <v>56</v>
      </c>
      <c r="D42" s="36" t="s">
        <v>22</v>
      </c>
      <c r="E42" s="107">
        <f>VLOOKUP(C42,Lookups!$E$2:$F$47,2,FALSE)</f>
        <v>0.65</v>
      </c>
      <c r="F42" s="37">
        <f t="shared" si="1"/>
        <v>1000</v>
      </c>
      <c r="G42" s="37">
        <f t="shared" si="2"/>
        <v>1000</v>
      </c>
      <c r="H42" s="38" t="str">
        <f t="shared" si="3"/>
        <v/>
      </c>
      <c r="I42" s="37">
        <f t="shared" si="4"/>
        <v>1</v>
      </c>
      <c r="J42" s="39" t="str">
        <f>VLOOKUP(Table3[[#This Row],[Name]],Teifi!$B$38:$K$60,8,FALSE)</f>
        <v/>
      </c>
      <c r="K42" s="39" t="str">
        <f>VLOOKUP(Table3[[#This Row],[Name]],Hafren!$B$38:$K$61,8,FALSE)</f>
        <v/>
      </c>
      <c r="L42" s="39">
        <f>VLOOKUP(Table3[[#This Row],[Name]],Carneddau!$B$38:$K$60,8,FALSE)</f>
        <v>1000</v>
      </c>
      <c r="M42" s="39" t="str">
        <f>VLOOKUP(Table3[[#This Row],[Name]],Foel_Goch!$B$37:$K$60,8,FALSE)</f>
        <v/>
      </c>
      <c r="N42" s="39" t="str">
        <f>VLOOKUP(Table3[[#This Row],[Name]],Gwanas!$B$38:$K$62,8,FALSE)</f>
        <v/>
      </c>
      <c r="O42" s="39" t="str">
        <f>VLOOKUP(Table3[[#This Row],[Name]],Maenarthur!$B$38:$K$62,8,FALSE)</f>
        <v/>
      </c>
      <c r="P42" s="39" t="str">
        <f>VLOOKUP(Table3[[#This Row],[Name]],Allt_Goch!$B$38:$K$62,8,FALSE)</f>
        <v/>
      </c>
      <c r="Q42" s="40" t="str">
        <f>VLOOKUP(Table3[[#This Row],[Name]],Mathrafal!$B$38:$K$61,8,FALSE)</f>
        <v/>
      </c>
    </row>
    <row r="43" spans="1:17" ht="15" customHeight="1" x14ac:dyDescent="0.3">
      <c r="A43" s="93">
        <f t="shared" si="0"/>
        <v>11</v>
      </c>
      <c r="B43" s="81" t="s">
        <v>25</v>
      </c>
      <c r="C43" s="41" t="s">
        <v>26</v>
      </c>
      <c r="D43" s="41" t="s">
        <v>22</v>
      </c>
      <c r="E43" s="108">
        <f>VLOOKUP(C43,Lookups!$E$2:$F$47,2,FALSE)</f>
        <v>0.67</v>
      </c>
      <c r="F43" s="42">
        <f t="shared" si="1"/>
        <v>1000</v>
      </c>
      <c r="G43" s="42">
        <f t="shared" si="2"/>
        <v>1000</v>
      </c>
      <c r="H43" s="43" t="str">
        <f t="shared" si="3"/>
        <v/>
      </c>
      <c r="I43" s="42">
        <f t="shared" si="4"/>
        <v>1</v>
      </c>
      <c r="J43" s="44" t="str">
        <f>VLOOKUP(Table3[[#This Row],[Name]],Teifi!$B$38:$K$60,8,FALSE)</f>
        <v/>
      </c>
      <c r="K43" s="44" t="str">
        <f>VLOOKUP(Table3[[#This Row],[Name]],Hafren!$B$38:$K$61,8,FALSE)</f>
        <v/>
      </c>
      <c r="L43" s="44" t="str">
        <f>VLOOKUP(Table3[[#This Row],[Name]],Carneddau!$B$38:$K$60,8,FALSE)</f>
        <v/>
      </c>
      <c r="M43" s="44">
        <f>VLOOKUP(Table3[[#This Row],[Name]],Foel_Goch!$B$37:$K$60,8,FALSE)</f>
        <v>1000</v>
      </c>
      <c r="N43" s="44" t="str">
        <f>VLOOKUP(Table3[[#This Row],[Name]],Gwanas!$B$38:$K$62,8,FALSE)</f>
        <v/>
      </c>
      <c r="O43" s="44" t="str">
        <f>VLOOKUP(Table3[[#This Row],[Name]],Maenarthur!$B$38:$K$62,8,FALSE)</f>
        <v/>
      </c>
      <c r="P43" s="44" t="str">
        <f>VLOOKUP(Table3[[#This Row],[Name]],Allt_Goch!$B$38:$K$62,8,FALSE)</f>
        <v/>
      </c>
      <c r="Q43" s="45" t="str">
        <f>VLOOKUP(Table3[[#This Row],[Name]],Mathrafal!$B$38:$K$61,8,FALSE)</f>
        <v/>
      </c>
    </row>
    <row r="44" spans="1:17" ht="15" customHeight="1" x14ac:dyDescent="0.3">
      <c r="A44" s="93">
        <f t="shared" si="0"/>
        <v>13</v>
      </c>
      <c r="B44" s="81" t="s">
        <v>111</v>
      </c>
      <c r="C44" s="41" t="s">
        <v>39</v>
      </c>
      <c r="D44" s="41" t="s">
        <v>22</v>
      </c>
      <c r="E44" s="108">
        <f>VLOOKUP(C44,Lookups!$E$2:$F$47,2,FALSE)</f>
        <v>0.9</v>
      </c>
      <c r="F44" s="42">
        <f t="shared" si="1"/>
        <v>981.21265817033554</v>
      </c>
      <c r="G44" s="42">
        <f t="shared" si="2"/>
        <v>981.21265817033554</v>
      </c>
      <c r="H44" s="43" t="str">
        <f t="shared" si="3"/>
        <v/>
      </c>
      <c r="I44" s="42">
        <f t="shared" si="4"/>
        <v>1</v>
      </c>
      <c r="J44" s="44">
        <f>VLOOKUP(Table3[[#This Row],[Name]],Teifi!$B$38:$K$60,8,FALSE)</f>
        <v>981.21265817033554</v>
      </c>
      <c r="K44" s="44" t="str">
        <f>VLOOKUP(Table3[[#This Row],[Name]],Hafren!$B$38:$K$61,8,FALSE)</f>
        <v/>
      </c>
      <c r="L44" s="44" t="str">
        <f>VLOOKUP(Table3[[#This Row],[Name]],Carneddau!$B$38:$K$60,8,FALSE)</f>
        <v/>
      </c>
      <c r="M44" s="44" t="str">
        <f>VLOOKUP(Table3[[#This Row],[Name]],Foel_Goch!$B$37:$K$60,8,FALSE)</f>
        <v/>
      </c>
      <c r="N44" s="44" t="str">
        <f>VLOOKUP(Table3[[#This Row],[Name]],Gwanas!$B$38:$K$62,8,FALSE)</f>
        <v/>
      </c>
      <c r="O44" s="44" t="str">
        <f>VLOOKUP(Table3[[#This Row],[Name]],Maenarthur!$B$38:$K$62,8,FALSE)</f>
        <v/>
      </c>
      <c r="P44" s="44" t="str">
        <f>VLOOKUP(Table3[[#This Row],[Name]],Allt_Goch!$B$38:$K$62,8,FALSE)</f>
        <v/>
      </c>
      <c r="Q44" s="45" t="str">
        <f>VLOOKUP(Table3[[#This Row],[Name]],Mathrafal!$B$38:$K$61,8,FALSE)</f>
        <v/>
      </c>
    </row>
    <row r="45" spans="1:17" ht="15" customHeight="1" x14ac:dyDescent="0.3">
      <c r="A45" s="92">
        <f t="shared" si="0"/>
        <v>14</v>
      </c>
      <c r="B45" s="80" t="s">
        <v>41</v>
      </c>
      <c r="C45" s="36" t="s">
        <v>17</v>
      </c>
      <c r="D45" s="36" t="s">
        <v>22</v>
      </c>
      <c r="E45" s="107">
        <f>VLOOKUP(C45,Lookups!$E$2:$F$47,2,FALSE)</f>
        <v>0.7</v>
      </c>
      <c r="F45" s="37">
        <f t="shared" si="1"/>
        <v>959.77066411849012</v>
      </c>
      <c r="G45" s="37">
        <f t="shared" si="2"/>
        <v>959.77066411849012</v>
      </c>
      <c r="H45" s="38" t="str">
        <f t="shared" si="3"/>
        <v/>
      </c>
      <c r="I45" s="37">
        <f t="shared" si="4"/>
        <v>1</v>
      </c>
      <c r="J45" s="39" t="str">
        <f>VLOOKUP(Table3[[#This Row],[Name]],Teifi!$B$38:$K$60,8,FALSE)</f>
        <v/>
      </c>
      <c r="K45" s="39" t="str">
        <f>VLOOKUP(Table3[[#This Row],[Name]],Hafren!$B$38:$K$61,8,FALSE)</f>
        <v/>
      </c>
      <c r="L45" s="39" t="str">
        <f>VLOOKUP(Table3[[#This Row],[Name]],Carneddau!$B$38:$K$60,8,FALSE)</f>
        <v/>
      </c>
      <c r="M45" s="39" t="str">
        <f>VLOOKUP(Table3[[#This Row],[Name]],Foel_Goch!$B$37:$K$60,8,FALSE)</f>
        <v/>
      </c>
      <c r="N45" s="39" t="str">
        <f>VLOOKUP(Table3[[#This Row],[Name]],Gwanas!$B$38:$K$62,8,FALSE)</f>
        <v/>
      </c>
      <c r="O45" s="39">
        <f>VLOOKUP(Table3[[#This Row],[Name]],Maenarthur!$B$38:$K$62,8,FALSE)</f>
        <v>959.77066411849012</v>
      </c>
      <c r="P45" s="39" t="str">
        <f>VLOOKUP(Table3[[#This Row],[Name]],Allt_Goch!$B$38:$K$62,8,FALSE)</f>
        <v/>
      </c>
      <c r="Q45" s="40" t="str">
        <f>VLOOKUP(Table3[[#This Row],[Name]],Mathrafal!$B$38:$K$61,8,FALSE)</f>
        <v/>
      </c>
    </row>
    <row r="46" spans="1:17" ht="15" customHeight="1" x14ac:dyDescent="0.3">
      <c r="A46" s="93">
        <f t="shared" si="0"/>
        <v>15</v>
      </c>
      <c r="B46" s="81" t="s">
        <v>124</v>
      </c>
      <c r="C46" s="41" t="s">
        <v>34</v>
      </c>
      <c r="D46" s="41" t="s">
        <v>22</v>
      </c>
      <c r="E46" s="108">
        <f>VLOOKUP(C46,Lookups!$E$2:$F$47,2,FALSE)</f>
        <v>0.8</v>
      </c>
      <c r="F46" s="42">
        <f t="shared" si="1"/>
        <v>869.1242755956215</v>
      </c>
      <c r="G46" s="42">
        <f t="shared" si="2"/>
        <v>869.1242755956215</v>
      </c>
      <c r="H46" s="43" t="str">
        <f t="shared" si="3"/>
        <v/>
      </c>
      <c r="I46" s="42">
        <f t="shared" si="4"/>
        <v>1</v>
      </c>
      <c r="J46" s="44">
        <f>VLOOKUP(Table3[[#This Row],[Name]],Teifi!$B$38:$K$60,8,FALSE)</f>
        <v>869.1242755956215</v>
      </c>
      <c r="K46" s="44" t="str">
        <f>VLOOKUP(Table3[[#This Row],[Name]],Hafren!$B$38:$K$61,8,FALSE)</f>
        <v/>
      </c>
      <c r="L46" s="44" t="str">
        <f>VLOOKUP(Table3[[#This Row],[Name]],Carneddau!$B$38:$K$60,8,FALSE)</f>
        <v/>
      </c>
      <c r="M46" s="44" t="str">
        <f>VLOOKUP(Table3[[#This Row],[Name]],Foel_Goch!$B$37:$K$60,8,FALSE)</f>
        <v/>
      </c>
      <c r="N46" s="44" t="str">
        <f>VLOOKUP(Table3[[#This Row],[Name]],Gwanas!$B$38:$K$62,8,FALSE)</f>
        <v/>
      </c>
      <c r="O46" s="44" t="str">
        <f>VLOOKUP(Table3[[#This Row],[Name]],Maenarthur!$B$38:$K$62,8,FALSE)</f>
        <v/>
      </c>
      <c r="P46" s="44" t="str">
        <f>VLOOKUP(Table3[[#This Row],[Name]],Allt_Goch!$B$38:$K$62,8,FALSE)</f>
        <v/>
      </c>
      <c r="Q46" s="45" t="str">
        <f>VLOOKUP(Table3[[#This Row],[Name]],Mathrafal!$B$38:$K$61,8,FALSE)</f>
        <v/>
      </c>
    </row>
    <row r="47" spans="1:17" ht="15" customHeight="1" x14ac:dyDescent="0.3">
      <c r="A47" s="92">
        <f t="shared" si="0"/>
        <v>16</v>
      </c>
      <c r="B47" s="80" t="s">
        <v>115</v>
      </c>
      <c r="C47" s="36" t="s">
        <v>47</v>
      </c>
      <c r="D47" s="36" t="s">
        <v>22</v>
      </c>
      <c r="E47" s="107">
        <f>VLOOKUP(C47,Lookups!$E$2:$F$47,2,FALSE)</f>
        <v>0.8</v>
      </c>
      <c r="F47" s="37">
        <f t="shared" si="1"/>
        <v>775.2308527973928</v>
      </c>
      <c r="G47" s="37">
        <f t="shared" si="2"/>
        <v>775.2308527973928</v>
      </c>
      <c r="H47" s="38" t="str">
        <f t="shared" si="3"/>
        <v/>
      </c>
      <c r="I47" s="37">
        <f t="shared" si="4"/>
        <v>1</v>
      </c>
      <c r="J47" s="39" t="str">
        <f>VLOOKUP(Table3[[#This Row],[Name]],Teifi!$B$38:$K$60,8,FALSE)</f>
        <v/>
      </c>
      <c r="K47" s="39">
        <f>VLOOKUP(Table3[[#This Row],[Name]],Hafren!$B$38:$K$61,8,FALSE)</f>
        <v>775.2308527973928</v>
      </c>
      <c r="L47" s="39" t="str">
        <f>VLOOKUP(Table3[[#This Row],[Name]],Carneddau!$B$38:$K$60,8,FALSE)</f>
        <v/>
      </c>
      <c r="M47" s="39" t="str">
        <f>VLOOKUP(Table3[[#This Row],[Name]],Foel_Goch!$B$37:$K$60,8,FALSE)</f>
        <v/>
      </c>
      <c r="N47" s="39" t="str">
        <f>VLOOKUP(Table3[[#This Row],[Name]],Gwanas!$B$38:$K$62,8,FALSE)</f>
        <v/>
      </c>
      <c r="O47" s="39" t="str">
        <f>VLOOKUP(Table3[[#This Row],[Name]],Maenarthur!$B$38:$K$62,8,FALSE)</f>
        <v/>
      </c>
      <c r="P47" s="39" t="str">
        <f>VLOOKUP(Table3[[#This Row],[Name]],Allt_Goch!$B$38:$K$62,8,FALSE)</f>
        <v/>
      </c>
      <c r="Q47" s="40" t="str">
        <f>VLOOKUP(Table3[[#This Row],[Name]],Mathrafal!$B$38:$K$61,8,FALSE)</f>
        <v/>
      </c>
    </row>
    <row r="48" spans="1:17" ht="15" customHeight="1" x14ac:dyDescent="0.3">
      <c r="A48" s="93">
        <f t="shared" si="0"/>
        <v>17</v>
      </c>
      <c r="B48" s="81" t="s">
        <v>6</v>
      </c>
      <c r="C48" s="41" t="s">
        <v>19</v>
      </c>
      <c r="D48" s="41" t="s">
        <v>22</v>
      </c>
      <c r="E48" s="108">
        <f>VLOOKUP(C48,Lookups!$E$2:$F$47,2,FALSE)</f>
        <v>0.63</v>
      </c>
      <c r="F48" s="42">
        <f t="shared" si="1"/>
        <v>725.39458660756259</v>
      </c>
      <c r="G48" s="42">
        <f t="shared" si="2"/>
        <v>725.39458660756259</v>
      </c>
      <c r="H48" s="43" t="str">
        <f t="shared" si="3"/>
        <v/>
      </c>
      <c r="I48" s="42">
        <f t="shared" si="4"/>
        <v>1</v>
      </c>
      <c r="J48" s="44" t="str">
        <f>VLOOKUP(Table3[[#This Row],[Name]],Teifi!$B$38:$K$60,8,FALSE)</f>
        <v/>
      </c>
      <c r="K48" s="44" t="str">
        <f>VLOOKUP(Table3[[#This Row],[Name]],Hafren!$B$38:$K$61,8,FALSE)</f>
        <v/>
      </c>
      <c r="L48" s="44" t="str">
        <f>VLOOKUP(Table3[[#This Row],[Name]],Carneddau!$B$38:$K$60,8,FALSE)</f>
        <v/>
      </c>
      <c r="M48" s="44">
        <f>VLOOKUP(Table3[[#This Row],[Name]],Foel_Goch!$B$37:$K$60,8,FALSE)</f>
        <v>725.39458660756259</v>
      </c>
      <c r="N48" s="44" t="str">
        <f>VLOOKUP(Table3[[#This Row],[Name]],Gwanas!$B$38:$K$62,8,FALSE)</f>
        <v/>
      </c>
      <c r="O48" s="44" t="str">
        <f>VLOOKUP(Table3[[#This Row],[Name]],Maenarthur!$B$38:$K$62,8,FALSE)</f>
        <v/>
      </c>
      <c r="P48" s="44" t="str">
        <f>VLOOKUP(Table3[[#This Row],[Name]],Allt_Goch!$B$38:$K$62,8,FALSE)</f>
        <v/>
      </c>
      <c r="Q48" s="45" t="str">
        <f>VLOOKUP(Table3[[#This Row],[Name]],Mathrafal!$B$38:$K$61,8,FALSE)</f>
        <v/>
      </c>
    </row>
    <row r="49" spans="1:17" ht="15" customHeight="1" x14ac:dyDescent="0.3">
      <c r="A49" s="93">
        <f t="shared" si="0"/>
        <v>18</v>
      </c>
      <c r="B49" s="81" t="s">
        <v>116</v>
      </c>
      <c r="C49" s="41" t="s">
        <v>117</v>
      </c>
      <c r="D49" s="41" t="s">
        <v>22</v>
      </c>
      <c r="E49" s="108">
        <f>VLOOKUP(C49,Lookups!$E$2:$F$47,2,FALSE)</f>
        <v>0.89</v>
      </c>
      <c r="F49" s="42">
        <f t="shared" si="1"/>
        <v>717.69309342343047</v>
      </c>
      <c r="G49" s="42">
        <f t="shared" si="2"/>
        <v>717.69309342343047</v>
      </c>
      <c r="H49" s="43" t="str">
        <f t="shared" si="3"/>
        <v/>
      </c>
      <c r="I49" s="42">
        <f t="shared" si="4"/>
        <v>1</v>
      </c>
      <c r="J49" s="44" t="str">
        <f>VLOOKUP(Table3[[#This Row],[Name]],Teifi!$B$38:$K$60,8,FALSE)</f>
        <v/>
      </c>
      <c r="K49" s="44">
        <f>VLOOKUP(Table3[[#This Row],[Name]],Hafren!$B$38:$K$61,8,FALSE)</f>
        <v>717.69309342343047</v>
      </c>
      <c r="L49" s="44" t="str">
        <f>VLOOKUP(Table3[[#This Row],[Name]],Carneddau!$B$38:$K$60,8,FALSE)</f>
        <v/>
      </c>
      <c r="M49" s="44" t="str">
        <f>VLOOKUP(Table3[[#This Row],[Name]],Foel_Goch!$B$37:$K$60,8,FALSE)</f>
        <v/>
      </c>
      <c r="N49" s="44" t="str">
        <f>VLOOKUP(Table3[[#This Row],[Name]],Gwanas!$B$38:$K$62,8,FALSE)</f>
        <v/>
      </c>
      <c r="O49" s="44" t="str">
        <f>VLOOKUP(Table3[[#This Row],[Name]],Maenarthur!$B$38:$K$62,8,FALSE)</f>
        <v/>
      </c>
      <c r="P49" s="44" t="str">
        <f>VLOOKUP(Table3[[#This Row],[Name]],Allt_Goch!$B$38:$K$62,8,FALSE)</f>
        <v/>
      </c>
      <c r="Q49" s="45" t="str">
        <f>VLOOKUP(Table3[[#This Row],[Name]],Mathrafal!$B$38:$K$61,8,FALSE)</f>
        <v/>
      </c>
    </row>
    <row r="50" spans="1:17" ht="15" customHeight="1" x14ac:dyDescent="0.3">
      <c r="A50" s="92">
        <f t="shared" si="0"/>
        <v>19</v>
      </c>
      <c r="B50" s="80" t="s">
        <v>104</v>
      </c>
      <c r="C50" s="36" t="s">
        <v>47</v>
      </c>
      <c r="D50" s="36" t="s">
        <v>22</v>
      </c>
      <c r="E50" s="107">
        <f>VLOOKUP(C50,Lookups!$E$2:$F$47,2,FALSE)</f>
        <v>0.8</v>
      </c>
      <c r="F50" s="37">
        <f t="shared" si="1"/>
        <v>609.35799782372123</v>
      </c>
      <c r="G50" s="37">
        <f t="shared" si="2"/>
        <v>609.35799782372123</v>
      </c>
      <c r="H50" s="38" t="str">
        <f t="shared" si="3"/>
        <v/>
      </c>
      <c r="I50" s="37">
        <f t="shared" si="4"/>
        <v>1</v>
      </c>
      <c r="J50" s="39" t="str">
        <f>VLOOKUP(Table3[[#This Row],[Name]],Teifi!$B$38:$K$60,8,FALSE)</f>
        <v/>
      </c>
      <c r="K50" s="39" t="str">
        <f>VLOOKUP(Table3[[#This Row],[Name]],Hafren!$B$38:$K$61,8,FALSE)</f>
        <v/>
      </c>
      <c r="L50" s="39" t="str">
        <f>VLOOKUP(Table3[[#This Row],[Name]],Carneddau!$B$38:$K$60,8,FALSE)</f>
        <v/>
      </c>
      <c r="M50" s="39" t="str">
        <f>VLOOKUP(Table3[[#This Row],[Name]],Foel_Goch!$B$37:$K$60,8,FALSE)</f>
        <v/>
      </c>
      <c r="N50" s="39" t="str">
        <f>VLOOKUP(Table3[[#This Row],[Name]],Gwanas!$B$38:$K$62,8,FALSE)</f>
        <v/>
      </c>
      <c r="O50" s="39" t="str">
        <f>VLOOKUP(Table3[[#This Row],[Name]],Maenarthur!$B$38:$K$62,8,FALSE)</f>
        <v/>
      </c>
      <c r="P50" s="39" t="str">
        <f>VLOOKUP(Table3[[#This Row],[Name]],Allt_Goch!$B$38:$K$62,8,FALSE)</f>
        <v/>
      </c>
      <c r="Q50" s="40">
        <f>VLOOKUP(Table3[[#This Row],[Name]],Mathrafal!$B$38:$K$61,8,FALSE)</f>
        <v>609.35799782372123</v>
      </c>
    </row>
    <row r="51" spans="1:17" ht="15" customHeight="1" x14ac:dyDescent="0.3">
      <c r="A51" s="92">
        <f t="shared" si="0"/>
        <v>20</v>
      </c>
      <c r="B51" s="80" t="s">
        <v>112</v>
      </c>
      <c r="C51" s="36" t="s">
        <v>17</v>
      </c>
      <c r="D51" s="36" t="s">
        <v>22</v>
      </c>
      <c r="E51" s="107">
        <f>VLOOKUP(C51,Lookups!$E$2:$F$47,2,FALSE)</f>
        <v>0.7</v>
      </c>
      <c r="F51" s="37">
        <f t="shared" si="1"/>
        <v>568.69823741771074</v>
      </c>
      <c r="G51" s="37">
        <f t="shared" si="2"/>
        <v>568.69823741771074</v>
      </c>
      <c r="H51" s="38" t="str">
        <f t="shared" si="3"/>
        <v/>
      </c>
      <c r="I51" s="37">
        <f t="shared" si="4"/>
        <v>1</v>
      </c>
      <c r="J51" s="39" t="str">
        <f>VLOOKUP(Table3[[#This Row],[Name]],Teifi!$B$38:$K$60,8,FALSE)</f>
        <v/>
      </c>
      <c r="K51" s="39" t="str">
        <f>VLOOKUP(Table3[[#This Row],[Name]],Hafren!$B$38:$K$61,8,FALSE)</f>
        <v/>
      </c>
      <c r="L51" s="39">
        <f>VLOOKUP(Table3[[#This Row],[Name]],Carneddau!$B$38:$K$60,8,FALSE)</f>
        <v>568.69823741771074</v>
      </c>
      <c r="M51" s="39" t="str">
        <f>VLOOKUP(Table3[[#This Row],[Name]],Foel_Goch!$B$37:$K$60,8,FALSE)</f>
        <v/>
      </c>
      <c r="N51" s="39" t="str">
        <f>VLOOKUP(Table3[[#This Row],[Name]],Gwanas!$B$38:$K$62,8,FALSE)</f>
        <v/>
      </c>
      <c r="O51" s="39" t="str">
        <f>VLOOKUP(Table3[[#This Row],[Name]],Maenarthur!$B$38:$K$62,8,FALSE)</f>
        <v/>
      </c>
      <c r="P51" s="39" t="str">
        <f>VLOOKUP(Table3[[#This Row],[Name]],Allt_Goch!$B$38:$K$62,8,FALSE)</f>
        <v/>
      </c>
      <c r="Q51" s="40" t="str">
        <f>VLOOKUP(Table3[[#This Row],[Name]],Mathrafal!$B$38:$K$61,8,FALSE)</f>
        <v/>
      </c>
    </row>
    <row r="52" spans="1:17" ht="15" customHeight="1" x14ac:dyDescent="0.3">
      <c r="A52" s="93">
        <f t="shared" si="0"/>
        <v>21</v>
      </c>
      <c r="B52" s="81" t="s">
        <v>118</v>
      </c>
      <c r="C52" s="41" t="s">
        <v>47</v>
      </c>
      <c r="D52" s="41" t="s">
        <v>22</v>
      </c>
      <c r="E52" s="108">
        <f>VLOOKUP(C52,Lookups!$E$2:$F$47,2,FALSE)</f>
        <v>0.8</v>
      </c>
      <c r="F52" s="42">
        <f t="shared" si="1"/>
        <v>532.7360955580441</v>
      </c>
      <c r="G52" s="42">
        <f t="shared" si="2"/>
        <v>532.7360955580441</v>
      </c>
      <c r="H52" s="43" t="str">
        <f t="shared" si="3"/>
        <v/>
      </c>
      <c r="I52" s="42">
        <f t="shared" si="4"/>
        <v>1</v>
      </c>
      <c r="J52" s="44" t="str">
        <f>VLOOKUP(Table3[[#This Row],[Name]],Teifi!$B$38:$K$60,8,FALSE)</f>
        <v/>
      </c>
      <c r="K52" s="44">
        <f>VLOOKUP(Table3[[#This Row],[Name]],Hafren!$B$38:$K$61,8,FALSE)</f>
        <v>532.7360955580441</v>
      </c>
      <c r="L52" s="44" t="str">
        <f>VLOOKUP(Table3[[#This Row],[Name]],Carneddau!$B$38:$K$60,8,FALSE)</f>
        <v/>
      </c>
      <c r="M52" s="44" t="str">
        <f>VLOOKUP(Table3[[#This Row],[Name]],Foel_Goch!$B$37:$K$60,8,FALSE)</f>
        <v/>
      </c>
      <c r="N52" s="44" t="str">
        <f>VLOOKUP(Table3[[#This Row],[Name]],Gwanas!$B$38:$K$62,8,FALSE)</f>
        <v/>
      </c>
      <c r="O52" s="44" t="str">
        <f>VLOOKUP(Table3[[#This Row],[Name]],Maenarthur!$B$38:$K$62,8,FALSE)</f>
        <v/>
      </c>
      <c r="P52" s="44" t="str">
        <f>VLOOKUP(Table3[[#This Row],[Name]],Allt_Goch!$B$38:$K$62,8,FALSE)</f>
        <v/>
      </c>
      <c r="Q52" s="45" t="str">
        <f>VLOOKUP(Table3[[#This Row],[Name]],Mathrafal!$B$38:$K$61,8,FALSE)</f>
        <v/>
      </c>
    </row>
    <row r="53" spans="1:17" ht="15" customHeight="1" x14ac:dyDescent="0.3">
      <c r="A53" s="92">
        <f t="shared" si="0"/>
        <v>22</v>
      </c>
      <c r="B53" s="80" t="s">
        <v>76</v>
      </c>
      <c r="C53" s="36" t="s">
        <v>19</v>
      </c>
      <c r="D53" s="36" t="s">
        <v>22</v>
      </c>
      <c r="E53" s="107">
        <f>VLOOKUP(C53,Lookups!$E$2:$F$47,2,FALSE)</f>
        <v>0.63</v>
      </c>
      <c r="F53" s="37">
        <f t="shared" si="1"/>
        <v>478.30823911839826</v>
      </c>
      <c r="G53" s="37">
        <f t="shared" si="2"/>
        <v>478.30823911839826</v>
      </c>
      <c r="H53" s="38" t="str">
        <f t="shared" si="3"/>
        <v/>
      </c>
      <c r="I53" s="37">
        <f t="shared" si="4"/>
        <v>1</v>
      </c>
      <c r="J53" s="39" t="str">
        <f>VLOOKUP(Table3[[#This Row],[Name]],Teifi!$B$38:$K$60,8,FALSE)</f>
        <v/>
      </c>
      <c r="K53" s="39" t="str">
        <f>VLOOKUP(Table3[[#This Row],[Name]],Hafren!$B$38:$K$61,8,FALSE)</f>
        <v/>
      </c>
      <c r="L53" s="39">
        <f>VLOOKUP(Table3[[#This Row],[Name]],Carneddau!$B$38:$K$60,8,FALSE)</f>
        <v>478.30823911839826</v>
      </c>
      <c r="M53" s="39" t="str">
        <f>VLOOKUP(Table3[[#This Row],[Name]],Foel_Goch!$B$37:$K$60,8,FALSE)</f>
        <v/>
      </c>
      <c r="N53" s="39" t="str">
        <f>VLOOKUP(Table3[[#This Row],[Name]],Gwanas!$B$38:$K$62,8,FALSE)</f>
        <v/>
      </c>
      <c r="O53" s="39" t="str">
        <f>VLOOKUP(Table3[[#This Row],[Name]],Maenarthur!$B$38:$K$62,8,FALSE)</f>
        <v/>
      </c>
      <c r="P53" s="39" t="str">
        <f>VLOOKUP(Table3[[#This Row],[Name]],Allt_Goch!$B$38:$K$62,8,FALSE)</f>
        <v/>
      </c>
      <c r="Q53" s="40" t="str">
        <f>VLOOKUP(Table3[[#This Row],[Name]],Mathrafal!$B$38:$K$61,8,FALSE)</f>
        <v/>
      </c>
    </row>
    <row r="54" spans="1:17" ht="15" customHeight="1" x14ac:dyDescent="0.3">
      <c r="A54" s="93">
        <f t="shared" si="0"/>
        <v>23</v>
      </c>
      <c r="B54" s="81" t="s">
        <v>157</v>
      </c>
      <c r="C54" s="41" t="s">
        <v>156</v>
      </c>
      <c r="D54" s="41" t="s">
        <v>22</v>
      </c>
      <c r="E54" s="108">
        <f>VLOOKUP(C54,Lookups!$E$2:$F$47,2,FALSE)</f>
        <v>1</v>
      </c>
      <c r="F54" s="42">
        <f t="shared" si="1"/>
        <v>390.8673894912427</v>
      </c>
      <c r="G54" s="42">
        <f t="shared" si="2"/>
        <v>390.8673894912427</v>
      </c>
      <c r="H54" s="43" t="str">
        <f t="shared" si="3"/>
        <v/>
      </c>
      <c r="I54" s="42">
        <f t="shared" si="4"/>
        <v>2</v>
      </c>
      <c r="J54" s="44" t="str">
        <f>VLOOKUP(Table3[[#This Row],[Name]],Teifi!$B$38:$K$60,8,FALSE)</f>
        <v/>
      </c>
      <c r="K54" s="44" t="str">
        <f>VLOOKUP(Table3[[#This Row],[Name]],Hafren!$B$38:$K$61,8,FALSE)</f>
        <v/>
      </c>
      <c r="L54" s="44">
        <f>VLOOKUP(Table3[[#This Row],[Name]],Carneddau!$B$38:$K$60,8,FALSE)</f>
        <v>390.8673894912427</v>
      </c>
      <c r="M54" s="44" t="str">
        <f>VLOOKUP(Table3[[#This Row],[Name]],Foel_Goch!$B$37:$K$60,8,FALSE)</f>
        <v/>
      </c>
      <c r="N54" s="44" t="str">
        <f>VLOOKUP(Table3[[#This Row],[Name]],Gwanas!$B$38:$K$62,8,FALSE)</f>
        <v/>
      </c>
      <c r="O54" s="44" t="str">
        <f>VLOOKUP(Table3[[#This Row],[Name]],Maenarthur!$B$38:$K$62,8,FALSE)</f>
        <v/>
      </c>
      <c r="P54" s="44" t="str">
        <f>VLOOKUP(Table3[[#This Row],[Name]],Allt_Goch!$B$38:$K$62,8,FALSE)</f>
        <v/>
      </c>
      <c r="Q54" s="45">
        <f>VLOOKUP(Table3[[#This Row],[Name]],Mathrafal!$B$38:$K$61,8,FALSE)</f>
        <v>0</v>
      </c>
    </row>
    <row r="55" spans="1:17" ht="5.25" customHeight="1" x14ac:dyDescent="0.3">
      <c r="A55" s="11"/>
      <c r="B55" s="12"/>
      <c r="C55" s="11"/>
      <c r="D55" s="11"/>
      <c r="E55" s="104"/>
      <c r="F55" s="11"/>
      <c r="G55" s="11"/>
      <c r="H55" s="11"/>
    </row>
    <row r="56" spans="1:17" ht="14.45" customHeight="1" x14ac:dyDescent="0.3">
      <c r="A56" s="100"/>
      <c r="B56" s="100"/>
      <c r="C56" s="100"/>
      <c r="D56" s="100"/>
      <c r="E56" s="109"/>
      <c r="F56" s="100"/>
      <c r="G56" s="100"/>
      <c r="H56" s="100"/>
      <c r="I56" s="100" t="s">
        <v>64</v>
      </c>
      <c r="J56" s="100"/>
      <c r="K56" s="100"/>
      <c r="L56" s="100"/>
      <c r="M56" s="100"/>
      <c r="N56" s="100"/>
      <c r="O56" s="100"/>
      <c r="P56" s="100"/>
      <c r="Q56" s="100"/>
    </row>
    <row r="57" spans="1:17" ht="14.45" customHeight="1" x14ac:dyDescent="0.25">
      <c r="A57" s="68" t="s">
        <v>8</v>
      </c>
      <c r="B57" s="69" t="s">
        <v>9</v>
      </c>
      <c r="C57" s="69" t="s">
        <v>10</v>
      </c>
      <c r="D57" s="69" t="s">
        <v>11</v>
      </c>
      <c r="E57" s="106" t="s">
        <v>146</v>
      </c>
      <c r="F57" s="69" t="s">
        <v>13</v>
      </c>
      <c r="G57" s="69" t="s">
        <v>147</v>
      </c>
      <c r="H57" s="69" t="s">
        <v>14</v>
      </c>
      <c r="I57" s="70" t="s">
        <v>15</v>
      </c>
      <c r="J57" s="68" t="s">
        <v>123</v>
      </c>
      <c r="K57" s="68" t="s">
        <v>101</v>
      </c>
      <c r="L57" s="68" t="s">
        <v>145</v>
      </c>
      <c r="M57" s="71" t="s">
        <v>128</v>
      </c>
      <c r="N57" s="72" t="s">
        <v>99</v>
      </c>
      <c r="O57" s="68" t="s">
        <v>98</v>
      </c>
      <c r="P57" s="71" t="s">
        <v>129</v>
      </c>
      <c r="Q57" s="68" t="s">
        <v>127</v>
      </c>
    </row>
    <row r="58" spans="1:17" ht="15" customHeight="1" x14ac:dyDescent="0.3">
      <c r="A58" s="96">
        <f t="shared" ref="A58:A72" si="5">_xlfn.RANK.EQ(F58,$F$58:$F$72,0)</f>
        <v>1</v>
      </c>
      <c r="B58" s="77" t="s">
        <v>65</v>
      </c>
      <c r="C58" s="7" t="s">
        <v>108</v>
      </c>
      <c r="D58" s="7" t="s">
        <v>22</v>
      </c>
      <c r="E58" s="88">
        <f>VLOOKUP(C58,Lookups!$E$2:$F$47,2,FALSE)</f>
        <v>0.65</v>
      </c>
      <c r="F58" s="8">
        <f t="shared" ref="F58:F72" si="6">IFERROR((G58+H58),G58)</f>
        <v>3731.2363749610713</v>
      </c>
      <c r="G58" s="8">
        <f t="shared" ref="G58:G72" si="7">IF(COUNT(J58:Q58)&lt;5,SUM(J58:Q58),LARGE(J58:Q58,1)+LARGE(J58:Q58,2)+LARGE(J58:Q58,3)+LARGE(J58:Q58,4)+LARGE(J58:Q58,5))</f>
        <v>3731.2363749610713</v>
      </c>
      <c r="H58" s="7"/>
      <c r="I58" s="8">
        <f t="shared" ref="I58:I72" si="8">COUNT(J58:Q58)</f>
        <v>4</v>
      </c>
      <c r="J58" s="9">
        <f>VLOOKUP(Table4[[#This Row],[Name]],Teifi!$B$64:$K$80,8,FALSE)</f>
        <v>731.23637496107119</v>
      </c>
      <c r="K58" s="9" t="str">
        <f>VLOOKUP(Table4[[#This Row],[Name]],Hafren!$B$65:$K$82,8,FALSE)</f>
        <v/>
      </c>
      <c r="L58" s="9">
        <f>VLOOKUP(Table4[[#This Row],[Name]],Carneddau!$B$64:$K$82,8,FALSE)</f>
        <v>1000.0000000000001</v>
      </c>
      <c r="M58" s="9" t="str">
        <f>VLOOKUP(Table4[[#This Row],[Name]],Foel_Goch!$B$64:$K$81,8,FALSE)</f>
        <v/>
      </c>
      <c r="N58" s="9" t="str">
        <f>VLOOKUP(Table4[[#This Row],[Name]],Gwanas!$B$66:$K$85,8,FALSE)</f>
        <v/>
      </c>
      <c r="O58" s="9" t="str">
        <f>VLOOKUP(Table4[[#This Row],[Name]],Maenarthur!$B$66:$K$85,8,FALSE)</f>
        <v/>
      </c>
      <c r="P58" s="9">
        <f>VLOOKUP(Table4[[#This Row],[Name]],Allt_Goch!$B$66:$K$86,8,FALSE)</f>
        <v>1000.0000000000001</v>
      </c>
      <c r="Q58" s="32">
        <f>VLOOKUP(Table4[[#This Row],[Name]],Mathrafal!$B$65:$K$86,8,FALSE)</f>
        <v>1000.0000000000001</v>
      </c>
    </row>
    <row r="59" spans="1:17" ht="15" customHeight="1" x14ac:dyDescent="0.3">
      <c r="A59" s="96">
        <f t="shared" si="5"/>
        <v>2</v>
      </c>
      <c r="B59" s="77" t="s">
        <v>57</v>
      </c>
      <c r="C59" s="7" t="s">
        <v>49</v>
      </c>
      <c r="D59" s="7" t="s">
        <v>22</v>
      </c>
      <c r="E59" s="88">
        <f>VLOOKUP(C59,Lookups!$E$2:$F$47,2,FALSE)</f>
        <v>0.7</v>
      </c>
      <c r="F59" s="8">
        <f t="shared" si="6"/>
        <v>1676.3904692941624</v>
      </c>
      <c r="G59" s="8">
        <f t="shared" si="7"/>
        <v>1676.3904692941624</v>
      </c>
      <c r="H59" s="7"/>
      <c r="I59" s="8">
        <f t="shared" si="8"/>
        <v>2</v>
      </c>
      <c r="J59" s="9">
        <f>VLOOKUP(Table4[[#This Row],[Name]],Teifi!$B$64:$K$80,8,FALSE)</f>
        <v>999.99999999999989</v>
      </c>
      <c r="K59" s="9" t="str">
        <f>VLOOKUP(Table4[[#This Row],[Name]],Hafren!$B$65:$K$82,8,FALSE)</f>
        <v/>
      </c>
      <c r="L59" s="9" t="str">
        <f>VLOOKUP(Table4[[#This Row],[Name]],Carneddau!$B$64:$K$82,8,FALSE)</f>
        <v/>
      </c>
      <c r="M59" s="9" t="str">
        <f>VLOOKUP(Table4[[#This Row],[Name]],Foel_Goch!$B$64:$K$81,8,FALSE)</f>
        <v/>
      </c>
      <c r="N59" s="9" t="str">
        <f>VLOOKUP(Table4[[#This Row],[Name]],Gwanas!$B$66:$K$85,8,FALSE)</f>
        <v/>
      </c>
      <c r="O59" s="9">
        <f>VLOOKUP(Table4[[#This Row],[Name]],Maenarthur!$B$66:$K$85,8,FALSE)</f>
        <v>676.39046929416236</v>
      </c>
      <c r="P59" s="9" t="str">
        <f>VLOOKUP(Table4[[#This Row],[Name]],Allt_Goch!$B$66:$K$86,8,FALSE)</f>
        <v/>
      </c>
      <c r="Q59" s="32" t="str">
        <f>VLOOKUP(Table4[[#This Row],[Name]],Mathrafal!$B$65:$K$86,8,FALSE)</f>
        <v/>
      </c>
    </row>
    <row r="60" spans="1:17" ht="15" customHeight="1" x14ac:dyDescent="0.3">
      <c r="A60" s="96">
        <f t="shared" si="5"/>
        <v>3</v>
      </c>
      <c r="B60" s="82" t="s">
        <v>77</v>
      </c>
      <c r="C60" s="14" t="s">
        <v>49</v>
      </c>
      <c r="D60" s="14" t="s">
        <v>22</v>
      </c>
      <c r="E60" s="88">
        <f>VLOOKUP(C60,Lookups!$E$2:$F$47,2,FALSE)</f>
        <v>0.7</v>
      </c>
      <c r="F60" s="48">
        <f t="shared" si="6"/>
        <v>1651.6358482745713</v>
      </c>
      <c r="G60" s="8">
        <f t="shared" si="7"/>
        <v>1651.6358482745713</v>
      </c>
      <c r="H60" s="7"/>
      <c r="I60" s="8">
        <f t="shared" si="8"/>
        <v>2</v>
      </c>
      <c r="J60" s="8">
        <f>VLOOKUP(Table4[[#This Row],[Name]],Teifi!$B$64:$K$80,8,FALSE)</f>
        <v>731.46417445482859</v>
      </c>
      <c r="K60" s="8" t="str">
        <f>VLOOKUP(Table4[[#This Row],[Name]],Hafren!$B$65:$K$82,8,FALSE)</f>
        <v/>
      </c>
      <c r="L60" s="8" t="str">
        <f>VLOOKUP(Table4[[#This Row],[Name]],Carneddau!$B$64:$K$82,8,FALSE)</f>
        <v/>
      </c>
      <c r="M60" s="8" t="str">
        <f>VLOOKUP(Table4[[#This Row],[Name]],Foel_Goch!$B$64:$K$81,8,FALSE)</f>
        <v/>
      </c>
      <c r="N60" s="8">
        <f>VLOOKUP(Table4[[#This Row],[Name]],Gwanas!$B$66:$K$85,8,FALSE)</f>
        <v>920.17167381974275</v>
      </c>
      <c r="O60" s="8" t="str">
        <f>VLOOKUP(Table4[[#This Row],[Name]],Maenarthur!$B$66:$K$85,8,FALSE)</f>
        <v/>
      </c>
      <c r="P60" s="8" t="str">
        <f>VLOOKUP(Table4[[#This Row],[Name]],Allt_Goch!$B$66:$K$86,8,FALSE)</f>
        <v/>
      </c>
      <c r="Q60" s="34" t="str">
        <f>VLOOKUP(Table4[[#This Row],[Name]],Mathrafal!$B$65:$K$86,8,FALSE)</f>
        <v/>
      </c>
    </row>
    <row r="61" spans="1:17" ht="15" customHeight="1" x14ac:dyDescent="0.3">
      <c r="A61" s="96">
        <f t="shared" si="5"/>
        <v>4</v>
      </c>
      <c r="B61" s="77" t="s">
        <v>119</v>
      </c>
      <c r="C61" s="7" t="s">
        <v>47</v>
      </c>
      <c r="D61" s="7" t="s">
        <v>22</v>
      </c>
      <c r="E61" s="88">
        <f>VLOOKUP(C61,Lookups!$E$2:$F$47,2,FALSE)</f>
        <v>0.8</v>
      </c>
      <c r="F61" s="8">
        <f t="shared" si="6"/>
        <v>1000</v>
      </c>
      <c r="G61" s="8">
        <f t="shared" si="7"/>
        <v>1000</v>
      </c>
      <c r="H61" s="7"/>
      <c r="I61" s="8">
        <f t="shared" si="8"/>
        <v>1</v>
      </c>
      <c r="J61" s="9" t="str">
        <f>VLOOKUP(Table4[[#This Row],[Name]],Teifi!$B$64:$K$80,8,FALSE)</f>
        <v/>
      </c>
      <c r="K61" s="9">
        <f>VLOOKUP(Table4[[#This Row],[Name]],Hafren!$B$65:$K$82,8,FALSE)</f>
        <v>1000</v>
      </c>
      <c r="L61" s="9" t="str">
        <f>VLOOKUP(Table4[[#This Row],[Name]],Carneddau!$B$64:$K$82,8,FALSE)</f>
        <v/>
      </c>
      <c r="M61" s="9" t="str">
        <f>VLOOKUP(Table4[[#This Row],[Name]],Foel_Goch!$B$64:$K$81,8,FALSE)</f>
        <v/>
      </c>
      <c r="N61" s="9" t="str">
        <f>VLOOKUP(Table4[[#This Row],[Name]],Gwanas!$B$66:$K$85,8,FALSE)</f>
        <v/>
      </c>
      <c r="O61" s="9" t="str">
        <f>VLOOKUP(Table4[[#This Row],[Name]],Maenarthur!$B$66:$K$85,8,FALSE)</f>
        <v/>
      </c>
      <c r="P61" s="9" t="str">
        <f>VLOOKUP(Table4[[#This Row],[Name]],Allt_Goch!$B$66:$K$86,8,FALSE)</f>
        <v/>
      </c>
      <c r="Q61" s="32" t="str">
        <f>VLOOKUP(Table4[[#This Row],[Name]],Mathrafal!$B$65:$K$86,8,FALSE)</f>
        <v/>
      </c>
    </row>
    <row r="62" spans="1:17" ht="15" customHeight="1" x14ac:dyDescent="0.3">
      <c r="A62" s="96">
        <f t="shared" si="5"/>
        <v>4</v>
      </c>
      <c r="B62" s="83" t="s">
        <v>67</v>
      </c>
      <c r="C62" s="13" t="s">
        <v>34</v>
      </c>
      <c r="D62" s="13" t="s">
        <v>22</v>
      </c>
      <c r="E62" s="88">
        <f>VLOOKUP(C62,Lookups!$E$2:$F$47,2,FALSE)</f>
        <v>0.8</v>
      </c>
      <c r="F62" s="90">
        <f t="shared" si="6"/>
        <v>1000</v>
      </c>
      <c r="G62" s="8">
        <f t="shared" si="7"/>
        <v>1000</v>
      </c>
      <c r="H62" s="7"/>
      <c r="I62" s="8">
        <f t="shared" si="8"/>
        <v>1</v>
      </c>
      <c r="J62" s="9" t="str">
        <f>VLOOKUP(Table4[[#This Row],[Name]],Teifi!$B$64:$K$80,8,FALSE)</f>
        <v/>
      </c>
      <c r="K62" s="9" t="str">
        <f>VLOOKUP(Table4[[#This Row],[Name]],Hafren!$B$65:$K$82,8,FALSE)</f>
        <v/>
      </c>
      <c r="L62" s="9" t="str">
        <f>VLOOKUP(Table4[[#This Row],[Name]],Carneddau!$B$64:$K$82,8,FALSE)</f>
        <v/>
      </c>
      <c r="M62" s="9" t="str">
        <f>VLOOKUP(Table4[[#This Row],[Name]],Foel_Goch!$B$64:$K$81,8,FALSE)</f>
        <v/>
      </c>
      <c r="N62" s="9" t="str">
        <f>VLOOKUP(Table4[[#This Row],[Name]],Gwanas!$B$66:$K$85,8,FALSE)</f>
        <v/>
      </c>
      <c r="O62" s="9">
        <f>VLOOKUP(Table4[[#This Row],[Name]],Maenarthur!$B$66:$K$85,8,FALSE)</f>
        <v>1000</v>
      </c>
      <c r="P62" s="9" t="str">
        <f>VLOOKUP(Table4[[#This Row],[Name]],Allt_Goch!$B$66:$K$86,8,FALSE)</f>
        <v/>
      </c>
      <c r="Q62" s="32" t="str">
        <f>VLOOKUP(Table4[[#This Row],[Name]],Mathrafal!$B$65:$K$86,8,FALSE)</f>
        <v/>
      </c>
    </row>
    <row r="63" spans="1:17" ht="15" customHeight="1" x14ac:dyDescent="0.3">
      <c r="A63" s="96">
        <f t="shared" si="5"/>
        <v>4</v>
      </c>
      <c r="B63" s="77" t="s">
        <v>76</v>
      </c>
      <c r="C63" s="7" t="s">
        <v>19</v>
      </c>
      <c r="D63" s="7" t="s">
        <v>22</v>
      </c>
      <c r="E63" s="88">
        <f>VLOOKUP(C63,Lookups!$E$2:$F$47,2,FALSE)</f>
        <v>0.63</v>
      </c>
      <c r="F63" s="8">
        <f t="shared" si="6"/>
        <v>1000</v>
      </c>
      <c r="G63" s="8">
        <f t="shared" si="7"/>
        <v>1000</v>
      </c>
      <c r="H63" s="7"/>
      <c r="I63" s="8">
        <f t="shared" si="8"/>
        <v>1</v>
      </c>
      <c r="J63" s="9" t="str">
        <f>VLOOKUP(Table4[[#This Row],[Name]],Teifi!$B$64:$K$80,8,FALSE)</f>
        <v/>
      </c>
      <c r="K63" s="9" t="str">
        <f>VLOOKUP(Table4[[#This Row],[Name]],Hafren!$B$65:$K$82,8,FALSE)</f>
        <v/>
      </c>
      <c r="L63" s="9" t="str">
        <f>VLOOKUP(Table4[[#This Row],[Name]],Carneddau!$B$64:$K$82,8,FALSE)</f>
        <v/>
      </c>
      <c r="M63" s="9" t="str">
        <f>VLOOKUP(Table4[[#This Row],[Name]],Foel_Goch!$B$64:$K$81,8,FALSE)</f>
        <v/>
      </c>
      <c r="N63" s="9">
        <f>VLOOKUP(Table4[[#This Row],[Name]],Gwanas!$B$66:$K$85,8,FALSE)</f>
        <v>1000</v>
      </c>
      <c r="O63" s="9" t="str">
        <f>VLOOKUP(Table4[[#This Row],[Name]],Maenarthur!$B$66:$K$85,8,FALSE)</f>
        <v/>
      </c>
      <c r="P63" s="9" t="str">
        <f>VLOOKUP(Table4[[#This Row],[Name]],Allt_Goch!$B$66:$K$86,8,FALSE)</f>
        <v/>
      </c>
      <c r="Q63" s="32" t="str">
        <f>VLOOKUP(Table4[[#This Row],[Name]],Mathrafal!$B$65:$K$86,8,FALSE)</f>
        <v/>
      </c>
    </row>
    <row r="64" spans="1:17" ht="15" customHeight="1" x14ac:dyDescent="0.3">
      <c r="A64" s="96">
        <f t="shared" si="5"/>
        <v>7</v>
      </c>
      <c r="B64" s="77" t="s">
        <v>112</v>
      </c>
      <c r="C64" s="7" t="s">
        <v>17</v>
      </c>
      <c r="D64" s="7" t="s">
        <v>22</v>
      </c>
      <c r="E64" s="88">
        <f>VLOOKUP(C64,Lookups!$E$2:$F$47,2,FALSE)</f>
        <v>0.7</v>
      </c>
      <c r="F64" s="8">
        <f t="shared" si="6"/>
        <v>999.99999999999989</v>
      </c>
      <c r="G64" s="8">
        <f t="shared" si="7"/>
        <v>999.99999999999989</v>
      </c>
      <c r="H64" s="7"/>
      <c r="I64" s="8">
        <f t="shared" si="8"/>
        <v>1</v>
      </c>
      <c r="J64" s="9" t="str">
        <f>VLOOKUP(Table4[[#This Row],[Name]],Teifi!$B$64:$K$80,8,FALSE)</f>
        <v/>
      </c>
      <c r="K64" s="9" t="str">
        <f>VLOOKUP(Table4[[#This Row],[Name]],Hafren!$B$65:$K$82,8,FALSE)</f>
        <v/>
      </c>
      <c r="L64" s="9" t="str">
        <f>VLOOKUP(Table4[[#This Row],[Name]],Carneddau!$B$64:$K$82,8,FALSE)</f>
        <v/>
      </c>
      <c r="M64" s="9">
        <f>VLOOKUP(Table4[[#This Row],[Name]],Foel_Goch!$B$64:$K$81,8,FALSE)</f>
        <v>999.99999999999989</v>
      </c>
      <c r="N64" s="9" t="str">
        <f>VLOOKUP(Table4[[#This Row],[Name]],Gwanas!$B$66:$K$85,8,FALSE)</f>
        <v/>
      </c>
      <c r="O64" s="9" t="str">
        <f>VLOOKUP(Table4[[#This Row],[Name]],Maenarthur!$B$66:$K$85,8,FALSE)</f>
        <v/>
      </c>
      <c r="P64" s="9" t="str">
        <f>VLOOKUP(Table4[[#This Row],[Name]],Allt_Goch!$B$66:$K$86,8,FALSE)</f>
        <v/>
      </c>
      <c r="Q64" s="32" t="str">
        <f>VLOOKUP(Table4[[#This Row],[Name]],Mathrafal!$B$65:$K$86,8,FALSE)</f>
        <v/>
      </c>
    </row>
    <row r="65" spans="1:26" ht="15" customHeight="1" x14ac:dyDescent="0.3">
      <c r="A65" s="97">
        <f t="shared" si="5"/>
        <v>8</v>
      </c>
      <c r="B65" s="78" t="s">
        <v>113</v>
      </c>
      <c r="C65" s="10" t="s">
        <v>47</v>
      </c>
      <c r="D65" s="10" t="s">
        <v>22</v>
      </c>
      <c r="E65" s="88">
        <f>VLOOKUP(C65,Lookups!$E$2:$F$47,2,FALSE)</f>
        <v>0.8</v>
      </c>
      <c r="F65" s="15">
        <f t="shared" si="6"/>
        <v>990.61662198391411</v>
      </c>
      <c r="G65" s="8">
        <f t="shared" si="7"/>
        <v>990.61662198391411</v>
      </c>
      <c r="H65" s="7"/>
      <c r="I65" s="15">
        <f t="shared" si="8"/>
        <v>1</v>
      </c>
      <c r="J65" s="9" t="str">
        <f>VLOOKUP(Table4[[#This Row],[Name]],Teifi!$B$64:$K$80,8,FALSE)</f>
        <v/>
      </c>
      <c r="K65" s="9" t="str">
        <f>VLOOKUP(Table4[[#This Row],[Name]],Hafren!$B$65:$K$82,8,FALSE)</f>
        <v/>
      </c>
      <c r="L65" s="9" t="str">
        <f>VLOOKUP(Table4[[#This Row],[Name]],Carneddau!$B$64:$K$82,8,FALSE)</f>
        <v/>
      </c>
      <c r="M65" s="9">
        <f>VLOOKUP(Table4[[#This Row],[Name]],Foel_Goch!$B$64:$K$81,8,FALSE)</f>
        <v>990.61662198391411</v>
      </c>
      <c r="N65" s="9" t="str">
        <f>VLOOKUP(Table4[[#This Row],[Name]],Gwanas!$B$66:$K$85,8,FALSE)</f>
        <v/>
      </c>
      <c r="O65" s="9" t="str">
        <f>VLOOKUP(Table4[[#This Row],[Name]],Maenarthur!$B$66:$K$85,8,FALSE)</f>
        <v/>
      </c>
      <c r="P65" s="9" t="str">
        <f>VLOOKUP(Table4[[#This Row],[Name]],Allt_Goch!$B$66:$K$86,8,FALSE)</f>
        <v/>
      </c>
      <c r="Q65" s="32" t="str">
        <f>VLOOKUP(Table4[[#This Row],[Name]],Mathrafal!$B$65:$K$86,8,FALSE)</f>
        <v/>
      </c>
    </row>
    <row r="66" spans="1:26" ht="15" customHeight="1" x14ac:dyDescent="0.3">
      <c r="A66" s="96">
        <f t="shared" si="5"/>
        <v>9</v>
      </c>
      <c r="B66" s="77" t="s">
        <v>44</v>
      </c>
      <c r="C66" s="7" t="s">
        <v>45</v>
      </c>
      <c r="D66" s="7" t="s">
        <v>22</v>
      </c>
      <c r="E66" s="88">
        <f>VLOOKUP(C66,Lookups!$E$2:$F$47,2,FALSE)</f>
        <v>0.67</v>
      </c>
      <c r="F66" s="8">
        <f t="shared" si="6"/>
        <v>953.41051750592828</v>
      </c>
      <c r="G66" s="8">
        <f t="shared" si="7"/>
        <v>953.41051750592828</v>
      </c>
      <c r="H66" s="7"/>
      <c r="I66" s="8">
        <f t="shared" si="8"/>
        <v>1</v>
      </c>
      <c r="J66" s="9" t="str">
        <f>VLOOKUP(Table4[[#This Row],[Name]],Teifi!$B$64:$K$80,8,FALSE)</f>
        <v/>
      </c>
      <c r="K66" s="9">
        <f>VLOOKUP(Table4[[#This Row],[Name]],Hafren!$B$65:$K$82,8,FALSE)</f>
        <v>953.41051750592828</v>
      </c>
      <c r="L66" s="9" t="str">
        <f>VLOOKUP(Table4[[#This Row],[Name]],Carneddau!$B$64:$K$82,8,FALSE)</f>
        <v/>
      </c>
      <c r="M66" s="9" t="str">
        <f>VLOOKUP(Table4[[#This Row],[Name]],Foel_Goch!$B$64:$K$81,8,FALSE)</f>
        <v/>
      </c>
      <c r="N66" s="9" t="str">
        <f>VLOOKUP(Table4[[#This Row],[Name]],Gwanas!$B$66:$K$85,8,FALSE)</f>
        <v/>
      </c>
      <c r="O66" s="9" t="str">
        <f>VLOOKUP(Table4[[#This Row],[Name]],Maenarthur!$B$66:$K$85,8,FALSE)</f>
        <v/>
      </c>
      <c r="P66" s="9" t="str">
        <f>VLOOKUP(Table4[[#This Row],[Name]],Allt_Goch!$B$66:$K$86,8,FALSE)</f>
        <v/>
      </c>
      <c r="Q66" s="32" t="str">
        <f>VLOOKUP(Table4[[#This Row],[Name]],Mathrafal!$B$65:$K$86,8,FALSE)</f>
        <v/>
      </c>
    </row>
    <row r="67" spans="1:26" ht="15" customHeight="1" x14ac:dyDescent="0.3">
      <c r="A67" s="94">
        <f t="shared" si="5"/>
        <v>10</v>
      </c>
      <c r="B67" s="77" t="s">
        <v>111</v>
      </c>
      <c r="C67" s="7" t="s">
        <v>39</v>
      </c>
      <c r="D67" s="7" t="s">
        <v>22</v>
      </c>
      <c r="E67" s="88">
        <f>VLOOKUP(C67,Lookups!$E$2:$F$47,2,FALSE)</f>
        <v>0.9</v>
      </c>
      <c r="F67" s="8">
        <f t="shared" si="6"/>
        <v>895.46243038436955</v>
      </c>
      <c r="G67" s="8">
        <f t="shared" si="7"/>
        <v>895.46243038436955</v>
      </c>
      <c r="H67" s="7"/>
      <c r="I67" s="8">
        <f t="shared" si="8"/>
        <v>1</v>
      </c>
      <c r="J67" s="9" t="str">
        <f>VLOOKUP(Table4[[#This Row],[Name]],Teifi!$B$64:$K$80,8,FALSE)</f>
        <v/>
      </c>
      <c r="K67" s="9" t="str">
        <f>VLOOKUP(Table4[[#This Row],[Name]],Hafren!$B$65:$K$82,8,FALSE)</f>
        <v/>
      </c>
      <c r="L67" s="9" t="str">
        <f>VLOOKUP(Table4[[#This Row],[Name]],Carneddau!$B$64:$K$82,8,FALSE)</f>
        <v/>
      </c>
      <c r="M67" s="9" t="str">
        <f>VLOOKUP(Table4[[#This Row],[Name]],Foel_Goch!$B$64:$K$81,8,FALSE)</f>
        <v/>
      </c>
      <c r="N67" s="9" t="str">
        <f>VLOOKUP(Table4[[#This Row],[Name]],Gwanas!$B$66:$K$85,8,FALSE)</f>
        <v/>
      </c>
      <c r="O67" s="9">
        <f>VLOOKUP(Table4[[#This Row],[Name]],Maenarthur!$B$66:$K$85,8,FALSE)</f>
        <v>895.46243038436955</v>
      </c>
      <c r="P67" s="9" t="str">
        <f>VLOOKUP(Table4[[#This Row],[Name]],Allt_Goch!$B$66:$K$86,8,FALSE)</f>
        <v/>
      </c>
      <c r="Q67" s="32" t="str">
        <f>VLOOKUP(Table4[[#This Row],[Name]],Mathrafal!$B$65:$K$86,8,FALSE)</f>
        <v/>
      </c>
    </row>
    <row r="68" spans="1:26" ht="15" customHeight="1" x14ac:dyDescent="0.3">
      <c r="A68" s="96">
        <f t="shared" si="5"/>
        <v>11</v>
      </c>
      <c r="B68" s="77" t="s">
        <v>69</v>
      </c>
      <c r="C68" s="7" t="s">
        <v>70</v>
      </c>
      <c r="D68" s="7" t="s">
        <v>22</v>
      </c>
      <c r="E68" s="88">
        <f>VLOOKUP(C68,Lookups!$E$2:$F$47,2,FALSE)</f>
        <v>0.71</v>
      </c>
      <c r="F68" s="8">
        <f t="shared" si="6"/>
        <v>895.27443337927775</v>
      </c>
      <c r="G68" s="8">
        <f t="shared" si="7"/>
        <v>895.27443337927775</v>
      </c>
      <c r="H68" s="7"/>
      <c r="I68" s="8">
        <f t="shared" si="8"/>
        <v>1</v>
      </c>
      <c r="J68" s="9" t="str">
        <f>VLOOKUP(Table4[[#This Row],[Name]],Teifi!$B$64:$K$80,8,FALSE)</f>
        <v/>
      </c>
      <c r="K68" s="9" t="str">
        <f>VLOOKUP(Table4[[#This Row],[Name]],Hafren!$B$65:$K$82,8,FALSE)</f>
        <v/>
      </c>
      <c r="L68" s="9" t="str">
        <f>VLOOKUP(Table4[[#This Row],[Name]],Carneddau!$B$64:$K$82,8,FALSE)</f>
        <v/>
      </c>
      <c r="M68" s="9" t="str">
        <f>VLOOKUP(Table4[[#This Row],[Name]],Foel_Goch!$B$64:$K$81,8,FALSE)</f>
        <v/>
      </c>
      <c r="N68" s="9" t="str">
        <f>VLOOKUP(Table4[[#This Row],[Name]],Gwanas!$B$66:$K$85,8,FALSE)</f>
        <v/>
      </c>
      <c r="O68" s="9">
        <f>VLOOKUP(Table4[[#This Row],[Name]],Maenarthur!$B$66:$K$85,8,FALSE)</f>
        <v>895.27443337927775</v>
      </c>
      <c r="P68" s="9" t="str">
        <f>VLOOKUP(Table4[[#This Row],[Name]],Allt_Goch!$B$66:$K$86,8,FALSE)</f>
        <v/>
      </c>
      <c r="Q68" s="32" t="str">
        <f>VLOOKUP(Table4[[#This Row],[Name]],Mathrafal!$B$65:$K$86,8,FALSE)</f>
        <v/>
      </c>
      <c r="R68"/>
      <c r="S68"/>
      <c r="T68"/>
      <c r="U68"/>
      <c r="V68"/>
      <c r="W68"/>
      <c r="X68"/>
      <c r="Y68"/>
      <c r="Z68"/>
    </row>
    <row r="69" spans="1:26" ht="15" customHeight="1" x14ac:dyDescent="0.3">
      <c r="A69" s="96">
        <f t="shared" si="5"/>
        <v>12</v>
      </c>
      <c r="B69" s="77" t="s">
        <v>58</v>
      </c>
      <c r="C69" s="7" t="s">
        <v>59</v>
      </c>
      <c r="D69" s="7" t="s">
        <v>22</v>
      </c>
      <c r="E69" s="88">
        <f>VLOOKUP(C69,Lookups!$E$2:$F$47,2,FALSE)</f>
        <v>0.77</v>
      </c>
      <c r="F69" s="8">
        <f t="shared" si="6"/>
        <v>728.82059800664467</v>
      </c>
      <c r="G69" s="8">
        <f t="shared" si="7"/>
        <v>728.82059800664467</v>
      </c>
      <c r="H69" s="7"/>
      <c r="I69" s="8">
        <f t="shared" si="8"/>
        <v>1</v>
      </c>
      <c r="J69" s="9" t="str">
        <f>VLOOKUP(Table4[[#This Row],[Name]],Teifi!$B$64:$K$80,8,FALSE)</f>
        <v/>
      </c>
      <c r="K69" s="9" t="str">
        <f>VLOOKUP(Table4[[#This Row],[Name]],Hafren!$B$65:$K$82,8,FALSE)</f>
        <v/>
      </c>
      <c r="L69" s="9">
        <f>VLOOKUP(Table4[[#This Row],[Name]],Carneddau!$B$64:$K$82,8,FALSE)</f>
        <v>728.82059800664467</v>
      </c>
      <c r="M69" s="9" t="str">
        <f>VLOOKUP(Table4[[#This Row],[Name]],Foel_Goch!$B$64:$K$81,8,FALSE)</f>
        <v/>
      </c>
      <c r="N69" s="9" t="str">
        <f>VLOOKUP(Table4[[#This Row],[Name]],Gwanas!$B$66:$K$85,8,FALSE)</f>
        <v/>
      </c>
      <c r="O69" s="9" t="str">
        <f>VLOOKUP(Table4[[#This Row],[Name]],Maenarthur!$B$66:$K$85,8,FALSE)</f>
        <v/>
      </c>
      <c r="P69" s="9" t="str">
        <f>VLOOKUP(Table4[[#This Row],[Name]],Allt_Goch!$B$66:$K$86,8,FALSE)</f>
        <v/>
      </c>
      <c r="Q69" s="32" t="str">
        <f>VLOOKUP(Table4[[#This Row],[Name]],Mathrafal!$B$65:$K$86,8,FALSE)</f>
        <v/>
      </c>
    </row>
    <row r="70" spans="1:26" ht="15" customHeight="1" x14ac:dyDescent="0.3">
      <c r="A70" s="96">
        <f t="shared" si="5"/>
        <v>13</v>
      </c>
      <c r="B70" s="77" t="s">
        <v>79</v>
      </c>
      <c r="C70" s="7" t="s">
        <v>80</v>
      </c>
      <c r="D70" s="7" t="s">
        <v>22</v>
      </c>
      <c r="E70" s="88">
        <f>VLOOKUP(C70,Lookups!$E$2:$F$47,2,FALSE)</f>
        <v>0.53</v>
      </c>
      <c r="F70" s="8">
        <f t="shared" si="6"/>
        <v>668.06142084124338</v>
      </c>
      <c r="G70" s="8">
        <f t="shared" si="7"/>
        <v>668.06142084124338</v>
      </c>
      <c r="H70" s="7"/>
      <c r="I70" s="8">
        <f t="shared" si="8"/>
        <v>1</v>
      </c>
      <c r="J70" s="8" t="str">
        <f>VLOOKUP(Table4[[#This Row],[Name]],Teifi!$B$64:$K$80,8,FALSE)</f>
        <v/>
      </c>
      <c r="K70" s="8" t="str">
        <f>VLOOKUP(Table4[[#This Row],[Name]],Hafren!$B$65:$K$82,8,FALSE)</f>
        <v/>
      </c>
      <c r="L70" s="8" t="str">
        <f>VLOOKUP(Table4[[#This Row],[Name]],Carneddau!$B$64:$K$82,8,FALSE)</f>
        <v/>
      </c>
      <c r="M70" s="8">
        <f>VLOOKUP(Table4[[#This Row],[Name]],Foel_Goch!$B$64:$K$81,8,FALSE)</f>
        <v>668.06142084124338</v>
      </c>
      <c r="N70" s="8" t="str">
        <f>VLOOKUP(Table4[[#This Row],[Name]],Gwanas!$B$66:$K$85,8,FALSE)</f>
        <v/>
      </c>
      <c r="O70" s="8" t="str">
        <f>VLOOKUP(Table4[[#This Row],[Name]],Maenarthur!$B$66:$K$85,8,FALSE)</f>
        <v/>
      </c>
      <c r="P70" s="8" t="str">
        <f>VLOOKUP(Table4[[#This Row],[Name]],Allt_Goch!$B$66:$K$86,8,FALSE)</f>
        <v/>
      </c>
      <c r="Q70" s="34" t="str">
        <f>VLOOKUP(Table4[[#This Row],[Name]],Mathrafal!$B$65:$K$86,8,FALSE)</f>
        <v/>
      </c>
    </row>
    <row r="71" spans="1:26" ht="15" customHeight="1" x14ac:dyDescent="0.3">
      <c r="A71" s="96">
        <f t="shared" si="5"/>
        <v>14</v>
      </c>
      <c r="B71" s="77" t="s">
        <v>62</v>
      </c>
      <c r="C71" s="7" t="s">
        <v>63</v>
      </c>
      <c r="D71" s="7" t="s">
        <v>22</v>
      </c>
      <c r="E71" s="88">
        <f>VLOOKUP(C71,Lookups!$E$2:$F$47,2,FALSE)</f>
        <v>0.62</v>
      </c>
      <c r="F71" s="8">
        <f t="shared" si="6"/>
        <v>325.43744792286634</v>
      </c>
      <c r="G71" s="8">
        <f t="shared" si="7"/>
        <v>325.43744792286634</v>
      </c>
      <c r="H71" s="7"/>
      <c r="I71" s="8">
        <f t="shared" si="8"/>
        <v>1</v>
      </c>
      <c r="J71" s="9" t="str">
        <f>VLOOKUP(Table4[[#This Row],[Name]],Teifi!$B$64:$K$80,8,FALSE)</f>
        <v/>
      </c>
      <c r="K71" s="9">
        <f>VLOOKUP(Table4[[#This Row],[Name]],Hafren!$B$65:$K$82,8,FALSE)</f>
        <v>325.43744792286634</v>
      </c>
      <c r="L71" s="9" t="str">
        <f>VLOOKUP(Table4[[#This Row],[Name]],Carneddau!$B$64:$K$82,8,FALSE)</f>
        <v/>
      </c>
      <c r="M71" s="9" t="str">
        <f>VLOOKUP(Table4[[#This Row],[Name]],Foel_Goch!$B$64:$K$81,8,FALSE)</f>
        <v/>
      </c>
      <c r="N71" s="9" t="str">
        <f>VLOOKUP(Table4[[#This Row],[Name]],Gwanas!$B$66:$K$85,8,FALSE)</f>
        <v/>
      </c>
      <c r="O71" s="9" t="str">
        <f>VLOOKUP(Table4[[#This Row],[Name]],Maenarthur!$B$66:$K$85,8,FALSE)</f>
        <v/>
      </c>
      <c r="P71" s="9" t="str">
        <f>VLOOKUP(Table4[[#This Row],[Name]],Allt_Goch!$B$66:$K$86,8,FALSE)</f>
        <v/>
      </c>
      <c r="Q71" s="32" t="str">
        <f>VLOOKUP(Table4[[#This Row],[Name]],Mathrafal!$B$65:$K$86,8,FALSE)</f>
        <v/>
      </c>
    </row>
    <row r="72" spans="1:26" ht="15" customHeight="1" x14ac:dyDescent="0.3">
      <c r="A72" s="96">
        <f t="shared" si="5"/>
        <v>15</v>
      </c>
      <c r="B72" s="77" t="s">
        <v>125</v>
      </c>
      <c r="C72" s="7" t="s">
        <v>49</v>
      </c>
      <c r="D72" s="7" t="s">
        <v>22</v>
      </c>
      <c r="E72" s="88">
        <f>VLOOKUP(C72,Lookups!$E$2:$F$47,2,FALSE)</f>
        <v>0.7</v>
      </c>
      <c r="F72" s="8">
        <f t="shared" si="6"/>
        <v>309.50587526363353</v>
      </c>
      <c r="G72" s="8">
        <f t="shared" si="7"/>
        <v>309.50587526363353</v>
      </c>
      <c r="H72" s="7"/>
      <c r="I72" s="8">
        <f t="shared" si="8"/>
        <v>1</v>
      </c>
      <c r="J72" s="9">
        <f>VLOOKUP(Table4[[#This Row],[Name]],Teifi!$B$64:$K$80,8,FALSE)</f>
        <v>309.50587526363353</v>
      </c>
      <c r="K72" s="9" t="str">
        <f>VLOOKUP(Table4[[#This Row],[Name]],Hafren!$B$65:$K$82,8,FALSE)</f>
        <v/>
      </c>
      <c r="L72" s="9" t="str">
        <f>VLOOKUP(Table4[[#This Row],[Name]],Carneddau!$B$64:$K$82,8,FALSE)</f>
        <v/>
      </c>
      <c r="M72" s="9" t="str">
        <f>VLOOKUP(Table4[[#This Row],[Name]],Foel_Goch!$B$64:$K$81,8,FALSE)</f>
        <v/>
      </c>
      <c r="N72" s="9" t="str">
        <f>VLOOKUP(Table4[[#This Row],[Name]],Gwanas!$B$66:$K$85,8,FALSE)</f>
        <v/>
      </c>
      <c r="O72" s="9" t="str">
        <f>VLOOKUP(Table4[[#This Row],[Name]],Maenarthur!$B$66:$K$85,8,FALSE)</f>
        <v/>
      </c>
      <c r="P72" s="9" t="str">
        <f>VLOOKUP(Table4[[#This Row],[Name]],Allt_Goch!$B$66:$K$86,8,FALSE)</f>
        <v/>
      </c>
      <c r="Q72" s="32" t="str">
        <f>VLOOKUP(Table4[[#This Row],[Name]],Mathrafal!$B$65:$K$86,8,FALSE)</f>
        <v/>
      </c>
    </row>
    <row r="73" spans="1:26" ht="5.25" customHeight="1" x14ac:dyDescent="0.3">
      <c r="A73" s="11"/>
      <c r="E73" s="110"/>
    </row>
    <row r="74" spans="1:26" ht="14.45" customHeight="1" x14ac:dyDescent="0.3">
      <c r="A74" s="101"/>
      <c r="B74" s="101"/>
      <c r="C74" s="101"/>
      <c r="D74" s="101"/>
      <c r="E74" s="111"/>
      <c r="F74" s="101"/>
      <c r="G74" s="101"/>
      <c r="H74" s="101"/>
      <c r="I74" s="101" t="s">
        <v>81</v>
      </c>
      <c r="J74" s="101"/>
      <c r="K74" s="101"/>
      <c r="L74" s="101"/>
      <c r="M74" s="101"/>
      <c r="N74" s="101"/>
      <c r="O74" s="101"/>
      <c r="P74" s="101"/>
      <c r="Q74" s="101"/>
    </row>
    <row r="75" spans="1:26" ht="14.45" customHeight="1" x14ac:dyDescent="0.25">
      <c r="A75" s="63" t="s">
        <v>8</v>
      </c>
      <c r="B75" s="64" t="s">
        <v>9</v>
      </c>
      <c r="C75" s="64" t="s">
        <v>10</v>
      </c>
      <c r="D75" s="64" t="s">
        <v>11</v>
      </c>
      <c r="E75" s="112" t="s">
        <v>146</v>
      </c>
      <c r="F75" s="64" t="s">
        <v>13</v>
      </c>
      <c r="G75" s="64" t="s">
        <v>147</v>
      </c>
      <c r="H75" s="64" t="s">
        <v>14</v>
      </c>
      <c r="I75" s="65" t="s">
        <v>15</v>
      </c>
      <c r="J75" s="63" t="s">
        <v>123</v>
      </c>
      <c r="K75" s="63" t="s">
        <v>101</v>
      </c>
      <c r="L75" s="63" t="s">
        <v>145</v>
      </c>
      <c r="M75" s="66" t="s">
        <v>128</v>
      </c>
      <c r="N75" s="67" t="s">
        <v>99</v>
      </c>
      <c r="O75" s="63" t="s">
        <v>98</v>
      </c>
      <c r="P75" s="66" t="s">
        <v>129</v>
      </c>
      <c r="Q75" s="63" t="s">
        <v>127</v>
      </c>
    </row>
    <row r="76" spans="1:26" ht="15" customHeight="1" x14ac:dyDescent="0.3">
      <c r="A76" s="53">
        <f t="shared" ref="A76:A82" si="9">_xlfn.RANK.EQ(F76,$F$76:$F$82,0)</f>
        <v>1</v>
      </c>
      <c r="B76" s="85" t="s">
        <v>112</v>
      </c>
      <c r="C76" s="54" t="s">
        <v>17</v>
      </c>
      <c r="D76" s="54" t="s">
        <v>22</v>
      </c>
      <c r="E76" s="114">
        <f>VLOOKUP(C76,Lookups!$E$2:$F$47,2,FALSE)</f>
        <v>0.7</v>
      </c>
      <c r="F76" s="55">
        <f t="shared" ref="F76:F82" si="10">IFERROR((G76+H76),G76)</f>
        <v>2000</v>
      </c>
      <c r="G76" s="55">
        <f t="shared" ref="G76:G82" si="11">IF(COUNT(J76:Q76)&lt;5,SUM(J76:Q76),LARGE(J76:Q76,1)+LARGE(J76:Q76,2)+LARGE(J76:Q76,3)+LARGE(J76:Q76,4)+LARGE(J76:Q76,5))</f>
        <v>2000</v>
      </c>
      <c r="H76" s="54" t="str">
        <f t="shared" ref="H76:H82" si="12">IFERROR((IF(COUNT(J76:Q76)&gt;4,"",IF(D76="Y",AVERAGE(J76:Q76),""))),"")</f>
        <v/>
      </c>
      <c r="I76" s="55">
        <f t="shared" ref="I76:I82" si="13">COUNT(J76:Q76)</f>
        <v>2</v>
      </c>
      <c r="J76" s="56" t="str">
        <f>VLOOKUP(Table5[[#This Row],[Name]],Teifi!$B$84:$K$96,8,FALSE)</f>
        <v/>
      </c>
      <c r="K76" s="56" t="str">
        <f>VLOOKUP(Table5[[#This Row],[Name]],Hafren!$B$86:$K$97,8,FALSE)</f>
        <v/>
      </c>
      <c r="L76" s="56">
        <f>VLOOKUP(Table5[[#This Row],[Name]],Carneddau!$B$86:$K$99,8,FALSE)</f>
        <v>1000</v>
      </c>
      <c r="M76" s="56" t="str">
        <f>VLOOKUP(Table5[[#This Row],[Name]],Foel_Goch!$B$85:$K$98,8,FALSE)</f>
        <v/>
      </c>
      <c r="N76" s="56" t="str">
        <f>VLOOKUP(Table5[[#This Row],[Name]],Gwanas!$B$89:$K$102,8,FALSE)</f>
        <v/>
      </c>
      <c r="O76" s="56">
        <f>VLOOKUP(Table5[[#This Row],[Name]],Maenarthur!$B$89:$K$102,8,FALSE)</f>
        <v>1000</v>
      </c>
      <c r="P76" s="56" t="str">
        <f>VLOOKUP(Table5[[#This Row],[Name]],Allt_Goch!$B$90:$K$103,8,FALSE)</f>
        <v/>
      </c>
      <c r="Q76" s="57" t="str">
        <f>VLOOKUP(Table5[[#This Row],[Name]],Mathrafal!$B$90:$K$103,8,FALSE)</f>
        <v/>
      </c>
    </row>
    <row r="77" spans="1:26" ht="15" customHeight="1" x14ac:dyDescent="0.3">
      <c r="A77" s="58">
        <f t="shared" si="9"/>
        <v>2</v>
      </c>
      <c r="B77" s="84" t="s">
        <v>85</v>
      </c>
      <c r="C77" s="59" t="s">
        <v>72</v>
      </c>
      <c r="D77" s="59" t="s">
        <v>22</v>
      </c>
      <c r="E77" s="113">
        <f>VLOOKUP(C77,Lookups!$E$2:$F$47,2,FALSE)</f>
        <v>0.6</v>
      </c>
      <c r="F77" s="60">
        <f t="shared" si="10"/>
        <v>1970.8441371362719</v>
      </c>
      <c r="G77" s="60">
        <f t="shared" si="11"/>
        <v>1970.8441371362719</v>
      </c>
      <c r="H77" s="59" t="str">
        <f t="shared" si="12"/>
        <v/>
      </c>
      <c r="I77" s="60">
        <f t="shared" si="13"/>
        <v>2</v>
      </c>
      <c r="J77" s="61">
        <f>VLOOKUP(Table5[[#This Row],[Name]],Teifi!$B$84:$K$96,8,FALSE)</f>
        <v>1000</v>
      </c>
      <c r="K77" s="61" t="str">
        <f>VLOOKUP(Table5[[#This Row],[Name]],Hafren!$B$86:$K$97,8,FALSE)</f>
        <v/>
      </c>
      <c r="L77" s="61" t="str">
        <f>VLOOKUP(Table5[[#This Row],[Name]],Carneddau!$B$86:$K$99,8,FALSE)</f>
        <v/>
      </c>
      <c r="M77" s="61">
        <f>VLOOKUP(Table5[[#This Row],[Name]],Foel_Goch!$B$85:$K$98,8,FALSE)</f>
        <v>970.84413713627202</v>
      </c>
      <c r="N77" s="61" t="str">
        <f>VLOOKUP(Table5[[#This Row],[Name]],Gwanas!$B$89:$K$102,8,FALSE)</f>
        <v/>
      </c>
      <c r="O77" s="61" t="str">
        <f>VLOOKUP(Table5[[#This Row],[Name]],Maenarthur!$B$89:$K$102,8,FALSE)</f>
        <v/>
      </c>
      <c r="P77" s="61" t="str">
        <f>VLOOKUP(Table5[[#This Row],[Name]],Allt_Goch!$B$90:$K$103,8,FALSE)</f>
        <v/>
      </c>
      <c r="Q77" s="62" t="str">
        <f>VLOOKUP(Table5[[#This Row],[Name]],Mathrafal!$B$90:$K$103,8,FALSE)</f>
        <v/>
      </c>
    </row>
    <row r="78" spans="1:26" ht="15" customHeight="1" x14ac:dyDescent="0.3">
      <c r="A78" s="53">
        <f t="shared" si="9"/>
        <v>3</v>
      </c>
      <c r="B78" s="85" t="s">
        <v>83</v>
      </c>
      <c r="C78" s="54" t="s">
        <v>66</v>
      </c>
      <c r="D78" s="54" t="s">
        <v>22</v>
      </c>
      <c r="E78" s="114">
        <f>VLOOKUP(C78,Lookups!$E$2:$F$47,2,FALSE)</f>
        <v>0.57999999999999996</v>
      </c>
      <c r="F78" s="55">
        <f t="shared" si="10"/>
        <v>1856.8713758994268</v>
      </c>
      <c r="G78" s="55">
        <f t="shared" si="11"/>
        <v>1856.8713758994268</v>
      </c>
      <c r="H78" s="54" t="str">
        <f t="shared" si="12"/>
        <v/>
      </c>
      <c r="I78" s="55">
        <f t="shared" si="13"/>
        <v>2</v>
      </c>
      <c r="J78" s="56">
        <f>VLOOKUP(Table5[[#This Row],[Name]],Teifi!$B$84:$K$96,8,FALSE)</f>
        <v>856.87137589942665</v>
      </c>
      <c r="K78" s="56" t="str">
        <f>VLOOKUP(Table5[[#This Row],[Name]],Hafren!$B$86:$K$97,8,FALSE)</f>
        <v/>
      </c>
      <c r="L78" s="56" t="str">
        <f>VLOOKUP(Table5[[#This Row],[Name]],Carneddau!$B$86:$K$99,8,FALSE)</f>
        <v/>
      </c>
      <c r="M78" s="56">
        <f>VLOOKUP(Table5[[#This Row],[Name]],Foel_Goch!$B$85:$K$98,8,FALSE)</f>
        <v>1000</v>
      </c>
      <c r="N78" s="56" t="str">
        <f>VLOOKUP(Table5[[#This Row],[Name]],Gwanas!$B$89:$K$102,8,FALSE)</f>
        <v/>
      </c>
      <c r="O78" s="56" t="str">
        <f>VLOOKUP(Table5[[#This Row],[Name]],Maenarthur!$B$89:$K$102,8,FALSE)</f>
        <v/>
      </c>
      <c r="P78" s="56" t="str">
        <f>VLOOKUP(Table5[[#This Row],[Name]],Allt_Goch!$B$90:$K$103,8,FALSE)</f>
        <v/>
      </c>
      <c r="Q78" s="57" t="str">
        <f>VLOOKUP(Table5[[#This Row],[Name]],Mathrafal!$B$90:$K$103,8,FALSE)</f>
        <v/>
      </c>
    </row>
    <row r="79" spans="1:26" ht="15" customHeight="1" x14ac:dyDescent="0.3">
      <c r="A79" s="58">
        <f t="shared" si="9"/>
        <v>4</v>
      </c>
      <c r="B79" s="84" t="s">
        <v>120</v>
      </c>
      <c r="C79" s="59" t="s">
        <v>72</v>
      </c>
      <c r="D79" s="59" t="s">
        <v>22</v>
      </c>
      <c r="E79" s="113">
        <f>VLOOKUP(C79,Lookups!$E$2:$F$47,2,FALSE)</f>
        <v>0.6</v>
      </c>
      <c r="F79" s="60">
        <f t="shared" si="10"/>
        <v>1000</v>
      </c>
      <c r="G79" s="60">
        <f t="shared" si="11"/>
        <v>1000</v>
      </c>
      <c r="H79" s="59" t="str">
        <f t="shared" si="12"/>
        <v/>
      </c>
      <c r="I79" s="60">
        <f t="shared" si="13"/>
        <v>1</v>
      </c>
      <c r="J79" s="61" t="str">
        <f>VLOOKUP(Table5[[#This Row],[Name]],Teifi!$B$84:$K$96,8,FALSE)</f>
        <v/>
      </c>
      <c r="K79" s="61">
        <f>VLOOKUP(Table5[[#This Row],[Name]],Hafren!$B$86:$K$97,8,FALSE)</f>
        <v>1000</v>
      </c>
      <c r="L79" s="61" t="str">
        <f>VLOOKUP(Table5[[#This Row],[Name]],Carneddau!$B$86:$K$99,8,FALSE)</f>
        <v/>
      </c>
      <c r="M79" s="61" t="str">
        <f>VLOOKUP(Table5[[#This Row],[Name]],Foel_Goch!$B$85:$K$98,8,FALSE)</f>
        <v/>
      </c>
      <c r="N79" s="61" t="str">
        <f>VLOOKUP(Table5[[#This Row],[Name]],Gwanas!$B$89:$K$102,8,FALSE)</f>
        <v/>
      </c>
      <c r="O79" s="61" t="str">
        <f>VLOOKUP(Table5[[#This Row],[Name]],Maenarthur!$B$89:$K$102,8,FALSE)</f>
        <v/>
      </c>
      <c r="P79" s="61" t="str">
        <f>VLOOKUP(Table5[[#This Row],[Name]],Allt_Goch!$B$90:$K$103,8,FALSE)</f>
        <v/>
      </c>
      <c r="Q79" s="62" t="str">
        <f>VLOOKUP(Table5[[#This Row],[Name]],Mathrafal!$B$90:$K$103,8,FALSE)</f>
        <v/>
      </c>
    </row>
    <row r="80" spans="1:26" ht="15" customHeight="1" x14ac:dyDescent="0.3">
      <c r="A80" s="53">
        <f t="shared" si="9"/>
        <v>5</v>
      </c>
      <c r="B80" s="85" t="s">
        <v>65</v>
      </c>
      <c r="C80" s="54" t="s">
        <v>108</v>
      </c>
      <c r="D80" s="54" t="s">
        <v>22</v>
      </c>
      <c r="E80" s="114">
        <f>VLOOKUP(C80,Lookups!$E$2:$F$47,2,FALSE)</f>
        <v>0.65</v>
      </c>
      <c r="F80" s="55">
        <f t="shared" si="10"/>
        <v>999.99999999999989</v>
      </c>
      <c r="G80" s="55">
        <f t="shared" si="11"/>
        <v>999.99999999999989</v>
      </c>
      <c r="H80" s="54" t="str">
        <f t="shared" si="12"/>
        <v/>
      </c>
      <c r="I80" s="55">
        <f t="shared" si="13"/>
        <v>1</v>
      </c>
      <c r="J80" s="56" t="str">
        <f>VLOOKUP(Table5[[#This Row],[Name]],Teifi!$B$84:$K$96,8,FALSE)</f>
        <v/>
      </c>
      <c r="K80" s="56" t="str">
        <f>VLOOKUP(Table5[[#This Row],[Name]],Hafren!$B$86:$K$97,8,FALSE)</f>
        <v/>
      </c>
      <c r="L80" s="56" t="str">
        <f>VLOOKUP(Table5[[#This Row],[Name]],Carneddau!$B$86:$K$99,8,FALSE)</f>
        <v/>
      </c>
      <c r="M80" s="56" t="str">
        <f>VLOOKUP(Table5[[#This Row],[Name]],Foel_Goch!$B$85:$K$98,8,FALSE)</f>
        <v/>
      </c>
      <c r="N80" s="56">
        <f>VLOOKUP(Table5[[#This Row],[Name]],Gwanas!$B$89:$K$102,8,FALSE)</f>
        <v>999.99999999999989</v>
      </c>
      <c r="O80" s="56" t="str">
        <f>VLOOKUP(Table5[[#This Row],[Name]],Maenarthur!$B$89:$K$102,8,FALSE)</f>
        <v/>
      </c>
      <c r="P80" s="56" t="str">
        <f>VLOOKUP(Table5[[#This Row],[Name]],Allt_Goch!$B$90:$K$103,8,FALSE)</f>
        <v/>
      </c>
      <c r="Q80" s="57" t="str">
        <f>VLOOKUP(Table5[[#This Row],[Name]],Mathrafal!$B$90:$K$103,8,FALSE)</f>
        <v/>
      </c>
    </row>
    <row r="81" spans="1:17" ht="15" customHeight="1" x14ac:dyDescent="0.3">
      <c r="A81" s="58">
        <f t="shared" si="9"/>
        <v>6</v>
      </c>
      <c r="B81" s="84" t="s">
        <v>121</v>
      </c>
      <c r="C81" s="59" t="s">
        <v>72</v>
      </c>
      <c r="D81" s="59" t="s">
        <v>22</v>
      </c>
      <c r="E81" s="113">
        <f>VLOOKUP(C81,Lookups!$E$2:$F$47,2,FALSE)</f>
        <v>0.6</v>
      </c>
      <c r="F81" s="60">
        <f t="shared" si="10"/>
        <v>799.03017241379314</v>
      </c>
      <c r="G81" s="60">
        <f t="shared" si="11"/>
        <v>799.03017241379314</v>
      </c>
      <c r="H81" s="59" t="str">
        <f t="shared" si="12"/>
        <v/>
      </c>
      <c r="I81" s="60">
        <f t="shared" si="13"/>
        <v>1</v>
      </c>
      <c r="J81" s="61" t="str">
        <f>VLOOKUP(Table5[[#This Row],[Name]],Teifi!$B$84:$K$96,8,FALSE)</f>
        <v/>
      </c>
      <c r="K81" s="61">
        <f>VLOOKUP(Table5[[#This Row],[Name]],Hafren!$B$86:$K$97,8,FALSE)</f>
        <v>799.03017241379314</v>
      </c>
      <c r="L81" s="61" t="str">
        <f>VLOOKUP(Table5[[#This Row],[Name]],Carneddau!$B$86:$K$99,8,FALSE)</f>
        <v/>
      </c>
      <c r="M81" s="61" t="str">
        <f>VLOOKUP(Table5[[#This Row],[Name]],Foel_Goch!$B$85:$K$98,8,FALSE)</f>
        <v/>
      </c>
      <c r="N81" s="61" t="str">
        <f>VLOOKUP(Table5[[#This Row],[Name]],Gwanas!$B$89:$K$102,8,FALSE)</f>
        <v/>
      </c>
      <c r="O81" s="61" t="str">
        <f>VLOOKUP(Table5[[#This Row],[Name]],Maenarthur!$B$89:$K$102,8,FALSE)</f>
        <v/>
      </c>
      <c r="P81" s="61" t="str">
        <f>VLOOKUP(Table5[[#This Row],[Name]],Allt_Goch!$B$90:$K$103,8,FALSE)</f>
        <v/>
      </c>
      <c r="Q81" s="62" t="str">
        <f>VLOOKUP(Table5[[#This Row],[Name]],Mathrafal!$B$90:$K$103,8,FALSE)</f>
        <v/>
      </c>
    </row>
    <row r="82" spans="1:17" ht="15" customHeight="1" x14ac:dyDescent="0.3">
      <c r="A82" s="53">
        <f t="shared" si="9"/>
        <v>7</v>
      </c>
      <c r="B82" s="85" t="s">
        <v>122</v>
      </c>
      <c r="C82" s="54" t="s">
        <v>66</v>
      </c>
      <c r="D82" s="54" t="s">
        <v>22</v>
      </c>
      <c r="E82" s="114">
        <f>VLOOKUP(C82,Lookups!$E$2:$F$47,2,FALSE)</f>
        <v>0.57999999999999996</v>
      </c>
      <c r="F82" s="55">
        <f t="shared" si="10"/>
        <v>595.31933683914724</v>
      </c>
      <c r="G82" s="55">
        <f t="shared" si="11"/>
        <v>595.31933683914724</v>
      </c>
      <c r="H82" s="54" t="str">
        <f t="shared" si="12"/>
        <v/>
      </c>
      <c r="I82" s="55">
        <f t="shared" si="13"/>
        <v>1</v>
      </c>
      <c r="J82" s="56" t="str">
        <f>VLOOKUP(Table5[[#This Row],[Name]],Teifi!$B$84:$K$96,8,FALSE)</f>
        <v/>
      </c>
      <c r="K82" s="56">
        <f>VLOOKUP(Table5[[#This Row],[Name]],Hafren!$B$86:$K$97,8,FALSE)</f>
        <v>595.31933683914724</v>
      </c>
      <c r="L82" s="56" t="str">
        <f>VLOOKUP(Table5[[#This Row],[Name]],Carneddau!$B$86:$K$99,8,FALSE)</f>
        <v/>
      </c>
      <c r="M82" s="56" t="str">
        <f>VLOOKUP(Table5[[#This Row],[Name]],Foel_Goch!$B$85:$K$98,8,FALSE)</f>
        <v/>
      </c>
      <c r="N82" s="56" t="str">
        <f>VLOOKUP(Table5[[#This Row],[Name]],Gwanas!$B$89:$K$102,8,FALSE)</f>
        <v/>
      </c>
      <c r="O82" s="56" t="str">
        <f>VLOOKUP(Table5[[#This Row],[Name]],Maenarthur!$B$89:$K$102,8,FALSE)</f>
        <v/>
      </c>
      <c r="P82" s="56" t="str">
        <f>VLOOKUP(Table5[[#This Row],[Name]],Allt_Goch!$B$90:$K$103,8,FALSE)</f>
        <v/>
      </c>
      <c r="Q82" s="57" t="str">
        <f>VLOOKUP(Table5[[#This Row],[Name]],Mathrafal!$B$90:$K$103,8,FALSE)</f>
        <v/>
      </c>
    </row>
  </sheetData>
  <mergeCells count="21">
    <mergeCell ref="H3:I3"/>
    <mergeCell ref="H2:I2"/>
    <mergeCell ref="H1:I1"/>
    <mergeCell ref="J3:K3"/>
    <mergeCell ref="J2:K2"/>
    <mergeCell ref="J1:K1"/>
    <mergeCell ref="C1:E1"/>
    <mergeCell ref="C2:E2"/>
    <mergeCell ref="C3:E3"/>
    <mergeCell ref="F1:G1"/>
    <mergeCell ref="F2:G2"/>
    <mergeCell ref="F3:G3"/>
    <mergeCell ref="L3:M3"/>
    <mergeCell ref="L2:M2"/>
    <mergeCell ref="L1:M1"/>
    <mergeCell ref="P3:Q3"/>
    <mergeCell ref="P2:Q2"/>
    <mergeCell ref="P1:Q1"/>
    <mergeCell ref="N3:O3"/>
    <mergeCell ref="N2:O2"/>
    <mergeCell ref="N1:O1"/>
  </mergeCells>
  <conditionalFormatting sqref="J6">
    <cfRule type="top10" dxfId="68" priority="93" rank="5"/>
  </conditionalFormatting>
  <conditionalFormatting sqref="J8:Q8">
    <cfRule type="top10" dxfId="66" priority="95" rank="5"/>
  </conditionalFormatting>
  <conditionalFormatting sqref="J9:Q9">
    <cfRule type="top10" dxfId="65" priority="96" rank="5"/>
  </conditionalFormatting>
  <conditionalFormatting sqref="J10:Q10">
    <cfRule type="top10" dxfId="64" priority="97" rank="5"/>
  </conditionalFormatting>
  <conditionalFormatting sqref="J11:Q11">
    <cfRule type="top10" dxfId="63" priority="98" rank="5"/>
  </conditionalFormatting>
  <conditionalFormatting sqref="J12:Q12">
    <cfRule type="top10" dxfId="62" priority="99" rank="5"/>
  </conditionalFormatting>
  <conditionalFormatting sqref="J13:Q13">
    <cfRule type="top10" dxfId="61" priority="100" rank="5"/>
  </conditionalFormatting>
  <conditionalFormatting sqref="J14:Q14">
    <cfRule type="top10" dxfId="60" priority="101" rank="5"/>
  </conditionalFormatting>
  <conditionalFormatting sqref="J15:Q15">
    <cfRule type="top10" dxfId="59" priority="102" rank="5"/>
  </conditionalFormatting>
  <conditionalFormatting sqref="J16:Q16">
    <cfRule type="top10" dxfId="58" priority="103" rank="5"/>
  </conditionalFormatting>
  <conditionalFormatting sqref="J18:Q18">
    <cfRule type="top10" dxfId="57" priority="104" rank="5"/>
  </conditionalFormatting>
  <conditionalFormatting sqref="J19:Q19">
    <cfRule type="top10" dxfId="56" priority="105" rank="5"/>
  </conditionalFormatting>
  <conditionalFormatting sqref="J20:Q20">
    <cfRule type="top10" dxfId="55" priority="106" rank="5"/>
  </conditionalFormatting>
  <conditionalFormatting sqref="J21:Q21">
    <cfRule type="top10" dxfId="54" priority="107" rank="5"/>
  </conditionalFormatting>
  <conditionalFormatting sqref="J22:Q22">
    <cfRule type="top10" dxfId="53" priority="108" rank="5"/>
  </conditionalFormatting>
  <conditionalFormatting sqref="J23:Q23">
    <cfRule type="top10" dxfId="52" priority="109" rank="5"/>
  </conditionalFormatting>
  <conditionalFormatting sqref="J24:Q26">
    <cfRule type="top10" dxfId="51" priority="110" rank="5"/>
  </conditionalFormatting>
  <conditionalFormatting sqref="J27:Q27">
    <cfRule type="top10" dxfId="50" priority="111" rank="5"/>
  </conditionalFormatting>
  <conditionalFormatting sqref="J28:Q28">
    <cfRule type="top10" dxfId="49" priority="112" rank="5"/>
  </conditionalFormatting>
  <conditionalFormatting sqref="J76:Q76">
    <cfRule type="top10" dxfId="48" priority="117" rank="5"/>
  </conditionalFormatting>
  <conditionalFormatting sqref="J77:Q77">
    <cfRule type="top10" dxfId="47" priority="118" rank="5"/>
  </conditionalFormatting>
  <conditionalFormatting sqref="J58:Q58">
    <cfRule type="top10" dxfId="46" priority="121" rank="5"/>
  </conditionalFormatting>
  <conditionalFormatting sqref="J59:Q59">
    <cfRule type="top10" dxfId="45" priority="123" rank="5"/>
  </conditionalFormatting>
  <conditionalFormatting sqref="J60:Q60">
    <cfRule type="top10" dxfId="44" priority="124" rank="5"/>
  </conditionalFormatting>
  <conditionalFormatting sqref="J61:Q61">
    <cfRule type="top10" dxfId="43" priority="126" rank="5"/>
  </conditionalFormatting>
  <conditionalFormatting sqref="J62:Q62">
    <cfRule type="top10" dxfId="42" priority="127" rank="5"/>
  </conditionalFormatting>
  <conditionalFormatting sqref="J63:Q63">
    <cfRule type="top10" dxfId="41" priority="131" rank="5"/>
  </conditionalFormatting>
  <conditionalFormatting sqref="J32:Q32">
    <cfRule type="top10" dxfId="40" priority="134" rank="5"/>
  </conditionalFormatting>
  <conditionalFormatting sqref="J33:Q33">
    <cfRule type="top10" dxfId="39" priority="135" rank="5"/>
  </conditionalFormatting>
  <conditionalFormatting sqref="J34:Q34">
    <cfRule type="top10" dxfId="38" priority="138" rank="5"/>
  </conditionalFormatting>
  <conditionalFormatting sqref="J35:Q35">
    <cfRule type="top10" dxfId="37" priority="139" rank="5"/>
  </conditionalFormatting>
  <conditionalFormatting sqref="J36:Q36">
    <cfRule type="top10" dxfId="36" priority="140" rank="5"/>
  </conditionalFormatting>
  <conditionalFormatting sqref="J37:Q37">
    <cfRule type="top10" dxfId="35" priority="142" rank="5"/>
  </conditionalFormatting>
  <conditionalFormatting sqref="J38:Q38">
    <cfRule type="top10" dxfId="34" priority="143" rank="5"/>
  </conditionalFormatting>
  <conditionalFormatting sqref="J40:Q40">
    <cfRule type="top10" dxfId="33" priority="147" rank="5"/>
  </conditionalFormatting>
  <conditionalFormatting sqref="J41:Q41">
    <cfRule type="top10" dxfId="32" priority="148" rank="5"/>
  </conditionalFormatting>
  <conditionalFormatting sqref="J39:Q39">
    <cfRule type="top10" dxfId="31" priority="23" rank="5"/>
  </conditionalFormatting>
  <conditionalFormatting sqref="J66:Q66 J70:Q72 J68:Q68">
    <cfRule type="top10" dxfId="30" priority="157" rank="5"/>
  </conditionalFormatting>
  <conditionalFormatting sqref="J65:Q65">
    <cfRule type="top10" dxfId="29" priority="22" rank="5"/>
  </conditionalFormatting>
  <conditionalFormatting sqref="J69:Q69">
    <cfRule type="top10" dxfId="28" priority="21" rank="5"/>
  </conditionalFormatting>
  <conditionalFormatting sqref="J64:Q64">
    <cfRule type="top10" dxfId="27" priority="19" rank="5"/>
  </conditionalFormatting>
  <conditionalFormatting sqref="J67:Q67">
    <cfRule type="top10" dxfId="26" priority="18" rank="5"/>
  </conditionalFormatting>
  <conditionalFormatting sqref="J42:Q42 J46:Q46">
    <cfRule type="top10" dxfId="25" priority="13" rank="5"/>
  </conditionalFormatting>
  <conditionalFormatting sqref="J43:Q43 J45:Q45">
    <cfRule type="top10" dxfId="24" priority="14" rank="5"/>
  </conditionalFormatting>
  <conditionalFormatting sqref="J44:Q44">
    <cfRule type="top10" dxfId="23" priority="12" rank="5"/>
  </conditionalFormatting>
  <conditionalFormatting sqref="J78:Q78 J80:Q80 J82:Q82">
    <cfRule type="top10" dxfId="22" priority="9" rank="5"/>
  </conditionalFormatting>
  <conditionalFormatting sqref="J79:Q79 J81:Q81">
    <cfRule type="top10" dxfId="21" priority="10" rank="5"/>
  </conditionalFormatting>
  <conditionalFormatting sqref="J48:Q48 J50:Q50 J52:Q52 J54:Q54">
    <cfRule type="top10" dxfId="20" priority="7" rank="5"/>
  </conditionalFormatting>
  <conditionalFormatting sqref="J47:Q47 J49:Q49 J51:Q51 J53:Q53">
    <cfRule type="top10" dxfId="19" priority="8" rank="5"/>
  </conditionalFormatting>
  <conditionalFormatting sqref="K6:Q6">
    <cfRule type="top10" dxfId="14" priority="5" rank="5"/>
  </conditionalFormatting>
  <conditionalFormatting sqref="J17:Q17">
    <cfRule type="top10" dxfId="9" priority="3" rank="5"/>
  </conditionalFormatting>
  <conditionalFormatting sqref="J7">
    <cfRule type="top10" dxfId="3" priority="2" rank="5"/>
  </conditionalFormatting>
  <conditionalFormatting sqref="K7:Q7">
    <cfRule type="top10" dxfId="1" priority="1" rank="5"/>
  </conditionalFormatting>
  <pageMargins left="0.25" right="0.25" top="0.75" bottom="0.75" header="0.3" footer="0.3"/>
  <pageSetup paperSize="9" scale="61" fitToHeight="0" orientation="portrait" r:id="rId1"/>
  <tableParts count="4">
    <tablePart r:id="rId2"/>
    <tablePart r:id="rId3"/>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F34"/>
  <sheetViews>
    <sheetView workbookViewId="0">
      <selection activeCell="F13" sqref="F13"/>
    </sheetView>
  </sheetViews>
  <sheetFormatPr defaultRowHeight="15" x14ac:dyDescent="0.25"/>
  <sheetData>
    <row r="1" spans="5:6" x14ac:dyDescent="0.25">
      <c r="E1" t="s">
        <v>155</v>
      </c>
      <c r="F1" t="s">
        <v>149</v>
      </c>
    </row>
    <row r="2" spans="5:6" x14ac:dyDescent="0.25">
      <c r="E2" t="s">
        <v>72</v>
      </c>
      <c r="F2">
        <v>0.6</v>
      </c>
    </row>
    <row r="3" spans="5:6" x14ac:dyDescent="0.25">
      <c r="E3" t="s">
        <v>49</v>
      </c>
      <c r="F3">
        <v>0.7</v>
      </c>
    </row>
    <row r="4" spans="5:6" x14ac:dyDescent="0.25">
      <c r="E4" t="s">
        <v>34</v>
      </c>
      <c r="F4">
        <v>0.8</v>
      </c>
    </row>
    <row r="5" spans="5:6" x14ac:dyDescent="0.25">
      <c r="E5" t="s">
        <v>21</v>
      </c>
      <c r="F5">
        <v>0.84</v>
      </c>
    </row>
    <row r="6" spans="5:6" x14ac:dyDescent="0.25">
      <c r="E6" t="s">
        <v>39</v>
      </c>
      <c r="F6">
        <v>0.9</v>
      </c>
    </row>
    <row r="7" spans="5:6" x14ac:dyDescent="0.25">
      <c r="E7" t="s">
        <v>107</v>
      </c>
      <c r="F7">
        <v>0.92</v>
      </c>
    </row>
    <row r="8" spans="5:6" x14ac:dyDescent="0.25">
      <c r="E8" t="s">
        <v>156</v>
      </c>
      <c r="F8" s="103">
        <v>1</v>
      </c>
    </row>
    <row r="9" spans="5:6" x14ac:dyDescent="0.25">
      <c r="E9" t="s">
        <v>103</v>
      </c>
      <c r="F9">
        <v>0.92</v>
      </c>
    </row>
    <row r="10" spans="5:6" x14ac:dyDescent="0.25">
      <c r="E10" t="s">
        <v>117</v>
      </c>
      <c r="F10">
        <v>0.89</v>
      </c>
    </row>
    <row r="11" spans="5:6" x14ac:dyDescent="0.25">
      <c r="E11" s="102" t="s">
        <v>27</v>
      </c>
      <c r="F11" s="102">
        <v>0.86</v>
      </c>
    </row>
    <row r="12" spans="5:6" x14ac:dyDescent="0.25">
      <c r="E12" t="s">
        <v>31</v>
      </c>
      <c r="F12">
        <v>0.82</v>
      </c>
    </row>
    <row r="13" spans="5:6" x14ac:dyDescent="0.25">
      <c r="E13" t="s">
        <v>59</v>
      </c>
      <c r="F13">
        <v>0.77</v>
      </c>
    </row>
    <row r="14" spans="5:6" x14ac:dyDescent="0.25">
      <c r="E14" t="s">
        <v>24</v>
      </c>
      <c r="F14">
        <v>0.7</v>
      </c>
    </row>
    <row r="15" spans="5:6" x14ac:dyDescent="0.25">
      <c r="E15" t="s">
        <v>28</v>
      </c>
      <c r="F15">
        <v>0.7</v>
      </c>
    </row>
    <row r="16" spans="5:6" x14ac:dyDescent="0.25">
      <c r="E16" t="s">
        <v>43</v>
      </c>
      <c r="F16">
        <v>0.64</v>
      </c>
    </row>
    <row r="17" spans="5:6" x14ac:dyDescent="0.25">
      <c r="E17" t="s">
        <v>36</v>
      </c>
      <c r="F17">
        <v>0.56999999999999995</v>
      </c>
    </row>
    <row r="18" spans="5:6" x14ac:dyDescent="0.25">
      <c r="E18" t="s">
        <v>151</v>
      </c>
    </row>
    <row r="19" spans="5:6" x14ac:dyDescent="0.25">
      <c r="E19" t="s">
        <v>66</v>
      </c>
      <c r="F19">
        <v>0.57999999999999996</v>
      </c>
    </row>
    <row r="20" spans="5:6" x14ac:dyDescent="0.25">
      <c r="E20" t="s">
        <v>63</v>
      </c>
      <c r="F20">
        <v>0.62</v>
      </c>
    </row>
    <row r="21" spans="5:6" x14ac:dyDescent="0.25">
      <c r="E21" t="s">
        <v>56</v>
      </c>
      <c r="F21">
        <v>0.65</v>
      </c>
    </row>
    <row r="22" spans="5:6" x14ac:dyDescent="0.25">
      <c r="E22" t="s">
        <v>108</v>
      </c>
      <c r="F22">
        <v>0.65</v>
      </c>
    </row>
    <row r="23" spans="5:6" x14ac:dyDescent="0.25">
      <c r="E23" t="s">
        <v>45</v>
      </c>
      <c r="F23">
        <v>0.67</v>
      </c>
    </row>
    <row r="24" spans="5:6" x14ac:dyDescent="0.25">
      <c r="E24" t="s">
        <v>17</v>
      </c>
      <c r="F24">
        <v>0.7</v>
      </c>
    </row>
    <row r="25" spans="5:6" x14ac:dyDescent="0.25">
      <c r="E25" s="102" t="s">
        <v>47</v>
      </c>
      <c r="F25" s="102">
        <v>0.8</v>
      </c>
    </row>
    <row r="26" spans="5:6" x14ac:dyDescent="0.25">
      <c r="E26" s="102" t="s">
        <v>110</v>
      </c>
      <c r="F26" s="102">
        <v>0.8</v>
      </c>
    </row>
    <row r="27" spans="5:6" x14ac:dyDescent="0.25">
      <c r="E27" t="s">
        <v>70</v>
      </c>
      <c r="F27">
        <v>0.71</v>
      </c>
    </row>
    <row r="28" spans="5:6" x14ac:dyDescent="0.25">
      <c r="E28" t="s">
        <v>26</v>
      </c>
      <c r="F28">
        <v>0.67</v>
      </c>
    </row>
    <row r="29" spans="5:6" x14ac:dyDescent="0.25">
      <c r="E29" t="s">
        <v>19</v>
      </c>
      <c r="F29">
        <v>0.63</v>
      </c>
    </row>
    <row r="30" spans="5:6" x14ac:dyDescent="0.25">
      <c r="E30" t="s">
        <v>150</v>
      </c>
    </row>
    <row r="31" spans="5:6" x14ac:dyDescent="0.25">
      <c r="E31" t="s">
        <v>80</v>
      </c>
      <c r="F31">
        <v>0.53</v>
      </c>
    </row>
    <row r="32" spans="5:6" x14ac:dyDescent="0.25">
      <c r="E32" t="s">
        <v>152</v>
      </c>
    </row>
    <row r="33" spans="5:5" x14ac:dyDescent="0.25">
      <c r="E33" t="s">
        <v>153</v>
      </c>
    </row>
    <row r="34" spans="5:5" x14ac:dyDescent="0.25">
      <c r="E34" t="s">
        <v>154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F96"/>
  <sheetViews>
    <sheetView topLeftCell="AB2" zoomScale="90" zoomScaleNormal="90" workbookViewId="0">
      <selection activeCell="BF35" sqref="BF35"/>
    </sheetView>
  </sheetViews>
  <sheetFormatPr defaultRowHeight="15" x14ac:dyDescent="0.25"/>
  <cols>
    <col min="1" max="1" width="6.42578125" customWidth="1"/>
    <col min="2" max="2" width="23.28515625" bestFit="1" customWidth="1"/>
    <col min="3" max="3" width="6.140625" bestFit="1" customWidth="1"/>
    <col min="4" max="4" width="9.5703125" bestFit="1" customWidth="1"/>
    <col min="5" max="6" width="7.140625" bestFit="1" customWidth="1"/>
    <col min="7" max="7" width="5.42578125" bestFit="1" customWidth="1"/>
    <col min="8" max="8" width="5.5703125" bestFit="1" customWidth="1"/>
    <col min="9" max="9" width="10.42578125" bestFit="1" customWidth="1"/>
    <col min="10" max="10" width="6.7109375" bestFit="1" customWidth="1"/>
    <col min="11" max="11" width="7.28515625" bestFit="1" customWidth="1"/>
    <col min="12" max="12" width="9.140625" customWidth="1"/>
    <col min="13" max="13" width="4.28515625" customWidth="1"/>
    <col min="14" max="14" width="19.7109375" bestFit="1" customWidth="1"/>
    <col min="15" max="15" width="6.140625" bestFit="1" customWidth="1"/>
    <col min="16" max="16" width="10.140625" bestFit="1" customWidth="1"/>
    <col min="17" max="18" width="7.140625" bestFit="1" customWidth="1"/>
    <col min="19" max="19" width="5.42578125" bestFit="1" customWidth="1"/>
    <col min="20" max="20" width="5.5703125" bestFit="1" customWidth="1"/>
    <col min="21" max="21" width="9.7109375" bestFit="1" customWidth="1"/>
    <col min="22" max="22" width="8.5703125" bestFit="1" customWidth="1"/>
    <col min="23" max="23" width="7.28515625" bestFit="1" customWidth="1"/>
    <col min="24" max="33" width="7.28515625" style="127" customWidth="1"/>
    <col min="34" max="34" width="4.7109375" customWidth="1"/>
    <col min="35" max="35" width="5.42578125" bestFit="1" customWidth="1"/>
    <col min="36" max="36" width="19.7109375" bestFit="1" customWidth="1"/>
    <col min="37" max="37" width="6.140625" bestFit="1" customWidth="1"/>
    <col min="38" max="38" width="10.140625" bestFit="1" customWidth="1"/>
    <col min="39" max="39" width="6" bestFit="1" customWidth="1"/>
    <col min="40" max="40" width="6.140625" bestFit="1" customWidth="1"/>
    <col min="41" max="41" width="5.42578125" bestFit="1" customWidth="1"/>
    <col min="42" max="42" width="5.5703125" bestFit="1" customWidth="1"/>
    <col min="43" max="43" width="9.7109375" bestFit="1" customWidth="1"/>
    <col min="44" max="44" width="8.5703125" bestFit="1" customWidth="1"/>
    <col min="45" max="45" width="7.28515625" bestFit="1" customWidth="1"/>
    <col min="46" max="46" width="3.28515625" customWidth="1"/>
    <col min="47" max="47" width="6.42578125" bestFit="1" customWidth="1"/>
    <col min="48" max="48" width="19.7109375" bestFit="1" customWidth="1"/>
    <col min="49" max="49" width="6.140625" bestFit="1" customWidth="1"/>
    <col min="50" max="50" width="10.140625" bestFit="1" customWidth="1"/>
    <col min="51" max="51" width="6" bestFit="1" customWidth="1"/>
    <col min="52" max="52" width="6.140625" bestFit="1" customWidth="1"/>
    <col min="53" max="53" width="5.42578125" bestFit="1" customWidth="1"/>
    <col min="54" max="54" width="5.5703125" bestFit="1" customWidth="1"/>
    <col min="55" max="55" width="9.7109375" bestFit="1" customWidth="1"/>
    <col min="56" max="56" width="8.5703125" bestFit="1" customWidth="1"/>
    <col min="57" max="57" width="7.28515625" bestFit="1" customWidth="1"/>
  </cols>
  <sheetData>
    <row r="2" spans="1:58" x14ac:dyDescent="0.25">
      <c r="E2" s="30">
        <v>7.829861111111111E-2</v>
      </c>
      <c r="F2" s="29">
        <f>E2*D7</f>
        <v>6.2638888888888897E-2</v>
      </c>
    </row>
    <row r="5" spans="1:58" x14ac:dyDescent="0.25">
      <c r="A5" t="s">
        <v>130</v>
      </c>
      <c r="M5" t="s">
        <v>131</v>
      </c>
      <c r="AI5" t="s">
        <v>132</v>
      </c>
      <c r="AU5" t="s">
        <v>133</v>
      </c>
    </row>
    <row r="6" spans="1:58" ht="30" x14ac:dyDescent="0.25">
      <c r="A6" s="24" t="s">
        <v>8</v>
      </c>
      <c r="B6" s="24" t="s">
        <v>9</v>
      </c>
      <c r="C6" s="24" t="s">
        <v>10</v>
      </c>
      <c r="D6" s="24" t="s">
        <v>12</v>
      </c>
      <c r="E6" s="28" t="s">
        <v>95</v>
      </c>
      <c r="F6" s="24" t="s">
        <v>94</v>
      </c>
      <c r="G6" s="24" t="s">
        <v>8</v>
      </c>
      <c r="H6" s="23" t="s">
        <v>93</v>
      </c>
      <c r="I6" s="22" t="s">
        <v>92</v>
      </c>
      <c r="J6" s="21" t="s">
        <v>91</v>
      </c>
      <c r="K6" s="20" t="s">
        <v>90</v>
      </c>
      <c r="M6" s="24" t="s">
        <v>8</v>
      </c>
      <c r="N6" s="24" t="s">
        <v>9</v>
      </c>
      <c r="O6" s="24" t="s">
        <v>10</v>
      </c>
      <c r="P6" s="24" t="s">
        <v>12</v>
      </c>
      <c r="Q6" s="28" t="s">
        <v>95</v>
      </c>
      <c r="R6" s="24" t="s">
        <v>94</v>
      </c>
      <c r="S6" s="24" t="s">
        <v>8</v>
      </c>
      <c r="T6" s="23" t="s">
        <v>93</v>
      </c>
      <c r="U6" s="22" t="s">
        <v>92</v>
      </c>
      <c r="V6" s="21" t="s">
        <v>91</v>
      </c>
      <c r="W6" s="20" t="s">
        <v>90</v>
      </c>
      <c r="X6" s="128"/>
      <c r="Y6" s="24" t="s">
        <v>9</v>
      </c>
      <c r="Z6" s="24" t="s">
        <v>10</v>
      </c>
      <c r="AA6" s="24" t="s">
        <v>12</v>
      </c>
      <c r="AB6" s="28" t="s">
        <v>95</v>
      </c>
      <c r="AC6" s="24" t="s">
        <v>94</v>
      </c>
      <c r="AD6" s="24" t="s">
        <v>8</v>
      </c>
      <c r="AE6" s="23" t="s">
        <v>93</v>
      </c>
      <c r="AF6" s="22" t="s">
        <v>92</v>
      </c>
      <c r="AG6" s="21" t="s">
        <v>91</v>
      </c>
      <c r="AH6" s="20" t="s">
        <v>90</v>
      </c>
      <c r="AI6" s="24" t="s">
        <v>8</v>
      </c>
      <c r="AJ6" s="24" t="s">
        <v>9</v>
      </c>
      <c r="AK6" s="24" t="s">
        <v>10</v>
      </c>
      <c r="AL6" s="24" t="s">
        <v>12</v>
      </c>
      <c r="AM6" s="28" t="s">
        <v>95</v>
      </c>
      <c r="AN6" s="24" t="s">
        <v>94</v>
      </c>
      <c r="AO6" s="24" t="s">
        <v>8</v>
      </c>
      <c r="AP6" s="23" t="s">
        <v>93</v>
      </c>
      <c r="AQ6" s="22" t="s">
        <v>92</v>
      </c>
      <c r="AR6" s="21" t="s">
        <v>91</v>
      </c>
      <c r="AS6" s="20" t="s">
        <v>90</v>
      </c>
      <c r="AU6" s="24" t="s">
        <v>8</v>
      </c>
      <c r="AV6" s="24" t="s">
        <v>9</v>
      </c>
      <c r="AW6" s="24" t="s">
        <v>10</v>
      </c>
      <c r="AX6" s="24" t="s">
        <v>12</v>
      </c>
      <c r="AY6" s="28" t="s">
        <v>95</v>
      </c>
      <c r="AZ6" s="24" t="s">
        <v>94</v>
      </c>
      <c r="BA6" s="24" t="s">
        <v>8</v>
      </c>
      <c r="BB6" s="23" t="s">
        <v>93</v>
      </c>
      <c r="BC6" s="22" t="s">
        <v>92</v>
      </c>
      <c r="BD6" s="21" t="s">
        <v>91</v>
      </c>
      <c r="BE6" s="20" t="s">
        <v>90</v>
      </c>
    </row>
    <row r="7" spans="1:58" x14ac:dyDescent="0.25">
      <c r="A7">
        <v>1</v>
      </c>
      <c r="B7" t="s">
        <v>16</v>
      </c>
      <c r="C7" t="s">
        <v>110</v>
      </c>
      <c r="D7">
        <f>VLOOKUP(C7,Lookups!$E$2:$F$47,2,FALSE)</f>
        <v>0.8</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 si="2">IF(E7="","",IF(F7&gt;=2*SMALL($F$7:$F$34,1),0,1000-((F7-SMALL($F$7:$F$34,1))/SMALL($F$7:$F$34,1)*100)))</f>
        <v/>
      </c>
      <c r="K7" s="16" t="str">
        <f t="shared" ref="K7:K34" si="3">IFERROR((1000-MINUTE(F7-SMALL($F$7:$F$34,1))),"~")</f>
        <v>~</v>
      </c>
      <c r="M7">
        <v>1</v>
      </c>
      <c r="N7" t="s">
        <v>16</v>
      </c>
      <c r="O7" t="s">
        <v>110</v>
      </c>
      <c r="P7">
        <f>VLOOKUP(O7,Lookups!$E$2:$F$47,2,FALSE)</f>
        <v>0.8</v>
      </c>
      <c r="Q7" s="30">
        <v>5.1643518518518512E-2</v>
      </c>
      <c r="R7" s="29">
        <f t="shared" ref="R7:R34" si="4">IF(Q7="","",Q7*P7)</f>
        <v>4.1314814814814811E-2</v>
      </c>
      <c r="S7">
        <f>IF(R7="","",_xlfn.RANK.EQ(R7,$R$7:$R$34,1)+COUNTIF($R$7:R7,R7)-1)</f>
        <v>1</v>
      </c>
      <c r="T7" s="19">
        <f>IFERROR((1000+200*(AVERAGE($R$7:$R$34)-R7)/_xlfn.STDEV.P($R$7:$R$34)),"")</f>
        <v>1255.4352173425441</v>
      </c>
      <c r="U7" s="18">
        <f>IFERROR(((1000*SMALL($R$7:$R$34,1)/R7)),"")</f>
        <v>1000</v>
      </c>
      <c r="V7" s="17">
        <f>IF(R7="","",IF(R7&gt;=2*SMALL($R$7:$R$34,1),0,1000-((R7-SMALL($R$7:$R$34,1))/SMALL($R$7:$R$34,1)*100)))</f>
        <v>1000</v>
      </c>
      <c r="W7" s="16">
        <f>IFERROR((1000-MINUTE(R7-SMALL($R$7:$R$34,1))),"~")</f>
        <v>1000</v>
      </c>
      <c r="X7" s="129"/>
      <c r="Y7" t="s">
        <v>16</v>
      </c>
      <c r="Z7" t="s">
        <v>110</v>
      </c>
      <c r="AA7">
        <f>VLOOKUP(Z7,Lookups!$E$2:$F$47,2,FALSE)</f>
        <v>0.8</v>
      </c>
      <c r="AB7" s="30"/>
      <c r="AC7" s="29" t="str">
        <f t="shared" ref="AC7:AC34" si="5">IF(AB7="","",AB7*AA7)</f>
        <v/>
      </c>
      <c r="AD7" t="str">
        <f>IF(AC7="","",_xlfn.RANK.EQ(AC7,$AC$8:$AC$35,1)+COUNTIF($AC$7:AC7,AC7)-1)</f>
        <v/>
      </c>
      <c r="AE7" s="19" t="str">
        <f>IFERROR((1000+200*(AVERAGE($R$7:$R$34)-AC7)/_xlfn.STDEV.P($R$7:$R$34)),"")</f>
        <v/>
      </c>
      <c r="AF7" s="18" t="str">
        <f>IFERROR(((1000*SMALL($R$7:$R$34,1)/AC7)),"")</f>
        <v/>
      </c>
      <c r="AG7" s="17" t="str">
        <f>IF(AC7="","",IF(AC7&gt;=2*SMALL($R$7:$R$34,1),0,1000-((AC7-SMALL($R$7:$R$34,1))/SMALL($R$7:$R$34,1)*100)))</f>
        <v/>
      </c>
      <c r="AH7" s="16" t="str">
        <f>IFERROR((1000-MINUTE(AC7-SMALL($R$7:$R$34,1))),"~")</f>
        <v>~</v>
      </c>
      <c r="AI7">
        <v>1</v>
      </c>
      <c r="AJ7" t="s">
        <v>16</v>
      </c>
      <c r="AK7" t="s">
        <v>110</v>
      </c>
      <c r="AL7">
        <f>VLOOKUP(AK7,Lookups!$E$2:$F$47,2,FALSE)</f>
        <v>0.8</v>
      </c>
      <c r="AM7" s="30"/>
      <c r="AN7" s="29" t="str">
        <f t="shared" ref="AN7:AN34" si="6">IF(AM7="","",AM7*AL7)</f>
        <v/>
      </c>
      <c r="AO7" t="str">
        <f>IF(AN7="","",_xlfn.RANK.EQ(AN7,$AN$7:$AN$34,1)+COUNTIF($AN$7:AN7,AN7)-1)</f>
        <v/>
      </c>
      <c r="AP7" s="19" t="str">
        <f>IFERROR((1000+200*(AVERAGE($AN$7:$AN$34)-AN7)/_xlfn.STDEV.P($AN$7:$AN$34)),"")</f>
        <v/>
      </c>
      <c r="AQ7" s="18" t="str">
        <f>IFERROR(((1000*SMALL($AN$7:$AN$34,1)/AN7)),"")</f>
        <v/>
      </c>
      <c r="AR7" s="17" t="str">
        <f>IF(AN7="","",IF(AN7&gt;=2*SMALL($AN$7:$AN$34,1),0,1000-((AN7-SMALL($AN$7:$AN$34,1))/SMALL($AN$7:$AN$34,1)*100)))</f>
        <v/>
      </c>
      <c r="AS7" s="16" t="str">
        <f>IFERROR((1000-MINUTE(AN7-SMALL($AN$7:$AN$34,1))),"~")</f>
        <v>~</v>
      </c>
      <c r="AU7">
        <v>1</v>
      </c>
      <c r="AV7" t="s">
        <v>16</v>
      </c>
      <c r="AW7" t="s">
        <v>110</v>
      </c>
      <c r="AX7">
        <f>VLOOKUP(AW7,Lookups!$E$2:$F$47,2,FALSE)</f>
        <v>0.8</v>
      </c>
      <c r="AY7" s="30"/>
      <c r="AZ7" s="29" t="str">
        <f t="shared" ref="AZ7:AZ34" si="7">IF(AY7="","",AY7*AX7)</f>
        <v/>
      </c>
      <c r="BA7" t="str">
        <f>IF(AZ7="","",_xlfn.RANK.EQ(AZ7,$AZ$7:$AZ$34,1)+COUNTIF($AZ$7:AZ7,AZ7)-1)</f>
        <v/>
      </c>
      <c r="BB7" s="19" t="str">
        <f>IFERROR((1000+200*(AVERAGE($AZ$7:$AZ$34)-AZ7)/_xlfn.STDEV.P($AZ$7:$AZ$34)),"")</f>
        <v/>
      </c>
      <c r="BC7" s="18" t="str">
        <f>IFERROR(((1000*SMALL($AZ$7:$AZ$34,1)/AZ7)),"")</f>
        <v/>
      </c>
      <c r="BD7" s="17" t="str">
        <f>IF(AZ7="","",IF(AZ7&gt;=2*SMALL($AZ$7:$AZ$34,1),0,1000-((AZ7-SMALL($AZ$7:$AZ$34,1))/SMALL($AZ$7:$AZ$34,1)*100)))</f>
        <v/>
      </c>
      <c r="BE7" s="16" t="str">
        <f>IFERROR((1000-MINUTE(AZ7-SMALL($AZ$7:$AZ$34,1))),"~")</f>
        <v>~</v>
      </c>
      <c r="BF7" s="31">
        <f>SUM(BC7,AQ7,U7,I7,AF7)</f>
        <v>1000</v>
      </c>
    </row>
    <row r="8" spans="1:58" x14ac:dyDescent="0.25">
      <c r="A8">
        <v>2</v>
      </c>
      <c r="B8" t="s">
        <v>20</v>
      </c>
      <c r="C8" t="s">
        <v>39</v>
      </c>
      <c r="D8">
        <f>VLOOKUP(C8,Lookups!$E$2:$F$47,2,FALSE)</f>
        <v>0.9</v>
      </c>
      <c r="E8" s="30">
        <v>5.5636574074074067E-2</v>
      </c>
      <c r="F8" s="29">
        <f t="shared" si="0"/>
        <v>5.0072916666666661E-2</v>
      </c>
      <c r="G8">
        <f>IF(F8="","",_xlfn.RANK.EQ(F8,$F$7:$F$34,1)+COUNTIF($F$7:F8,F8)-1)</f>
        <v>1</v>
      </c>
      <c r="H8" s="19">
        <f t="shared" si="1"/>
        <v>1275.3878428485871</v>
      </c>
      <c r="I8" s="18">
        <f>IFERROR(((1000*SMALL($F$7:$F$34,1)/F8)),"")</f>
        <v>1000.0000000000001</v>
      </c>
      <c r="J8" s="17">
        <f>IF(F8="","",IF(F8&gt;=2*SMALL($F$7:$F$34,1),0,1000-((F8-SMALL($F$7:$F$34,1))/SMALL($F$7:$F$34,1)*100)))</f>
        <v>1000</v>
      </c>
      <c r="K8" s="16">
        <f t="shared" si="3"/>
        <v>1000</v>
      </c>
      <c r="M8">
        <v>2</v>
      </c>
      <c r="N8" t="s">
        <v>20</v>
      </c>
      <c r="O8" t="s">
        <v>39</v>
      </c>
      <c r="P8">
        <f>VLOOKUP(O8,Lookups!$E$2:$F$47,2,FALSE)</f>
        <v>0.9</v>
      </c>
      <c r="Q8" s="30"/>
      <c r="R8" s="29" t="str">
        <f t="shared" si="4"/>
        <v/>
      </c>
      <c r="S8" t="str">
        <f>IF(R8="","",_xlfn.RANK.EQ(R8,$R$7:$R$34,1)+COUNTIF($R$7:R8,R8)-1)</f>
        <v/>
      </c>
      <c r="T8" s="19" t="str">
        <f t="shared" ref="T8:T34" si="8">IFERROR((1000+200*(AVERAGE($R$7:$R$34)-R8)/_xlfn.STDEV.P($R$7:$R$34)),"")</f>
        <v/>
      </c>
      <c r="U8" s="18" t="str">
        <f>IFERROR(((1000*SMALL($F$7:$F$34,1)/R8)),"")</f>
        <v/>
      </c>
      <c r="V8" s="17" t="str">
        <f t="shared" ref="V8:V34" si="9">IF(R8="","",IF(R8&gt;=2*SMALL($R$7:$R$34,1),0,1000-((R8-SMALL($R$7:$R$34,1))/SMALL($R$7:$R$34,1)*100)))</f>
        <v/>
      </c>
      <c r="W8" s="16" t="str">
        <f t="shared" ref="W8:W34" si="10">IFERROR((1000-MINUTE(R8-SMALL($R$7:$R$34,1))),"~")</f>
        <v>~</v>
      </c>
      <c r="X8" s="129"/>
      <c r="Y8" t="s">
        <v>20</v>
      </c>
      <c r="Z8" t="s">
        <v>39</v>
      </c>
      <c r="AA8">
        <f>VLOOKUP(Z8,Lookups!$E$2:$F$47,2,FALSE)</f>
        <v>0.9</v>
      </c>
      <c r="AB8" s="30"/>
      <c r="AC8" s="29" t="str">
        <f t="shared" si="5"/>
        <v/>
      </c>
      <c r="AD8" t="str">
        <f>IF(AC8="","",_xlfn.RANK.EQ(AC8,$AC$8:$AC$35,1)+COUNTIF($AC$7:AC8,AC8)-1)</f>
        <v/>
      </c>
      <c r="AE8" s="19" t="str">
        <f t="shared" ref="AE8:AE34" si="11">IFERROR((1000+200*(AVERAGE($R$7:$R$34)-AC8)/_xlfn.STDEV.P($R$7:$R$34)),"")</f>
        <v/>
      </c>
      <c r="AF8" s="18" t="str">
        <f>IFERROR(((1000*SMALL($F$7:$F$34,1)/AC8)),"")</f>
        <v/>
      </c>
      <c r="AG8" s="17" t="str">
        <f t="shared" ref="AG8:AG34" si="12">IF(AC8="","",IF(AC8&gt;=2*SMALL($R$7:$R$34,1),0,1000-((AC8-SMALL($R$7:$R$34,1))/SMALL($R$7:$R$34,1)*100)))</f>
        <v/>
      </c>
      <c r="AH8" s="16" t="str">
        <f t="shared" ref="AH8:AH34" si="13">IFERROR((1000-MINUTE(AC8-SMALL($R$7:$R$34,1))),"~")</f>
        <v>~</v>
      </c>
      <c r="AI8">
        <v>2</v>
      </c>
      <c r="AJ8" t="s">
        <v>20</v>
      </c>
      <c r="AK8" t="s">
        <v>39</v>
      </c>
      <c r="AL8">
        <f>VLOOKUP(AK8,Lookups!$E$2:$F$47,2,FALSE)</f>
        <v>0.9</v>
      </c>
      <c r="AM8" s="30"/>
      <c r="AN8" s="29" t="str">
        <f t="shared" si="6"/>
        <v/>
      </c>
      <c r="AO8" t="str">
        <f>IF(AN8="","",_xlfn.RANK.EQ(AN8,$AN$7:$AN$34,1)+COUNTIF($AN$7:AN8,AN8)-1)</f>
        <v/>
      </c>
      <c r="AP8" s="19" t="str">
        <f t="shared" ref="AP8:AP34" si="14">IFERROR((1000+200*(AVERAGE($AN$7:$AN$34)-AN8)/_xlfn.STDEV.P($AN$7:$AN$34)),"")</f>
        <v/>
      </c>
      <c r="AQ8" s="18" t="str">
        <f t="shared" ref="AQ8:AQ34" si="15">IFERROR(((1000*SMALL($AN$7:$AN$34,1)/AN8)),"")</f>
        <v/>
      </c>
      <c r="AR8" s="17" t="str">
        <f t="shared" ref="AR8:AR34" si="16">IF(AN8="","",IF(AN8&gt;=2*SMALL($AN$7:$AN$34,1),0,1000-((AN8-SMALL($AN$7:$AN$34,1))/SMALL($AN$7:$AN$34,1)*100)))</f>
        <v/>
      </c>
      <c r="AS8" s="16" t="str">
        <f t="shared" ref="AS8:AS34" si="17">IFERROR((1000-MINUTE(AN8-SMALL($AN$7:$AN$34,1))),"~")</f>
        <v>~</v>
      </c>
      <c r="AU8">
        <v>2</v>
      </c>
      <c r="AV8" t="s">
        <v>20</v>
      </c>
      <c r="AW8" t="s">
        <v>39</v>
      </c>
      <c r="AX8">
        <f>VLOOKUP(AW8,Lookups!$E$2:$F$47,2,FALSE)</f>
        <v>0.9</v>
      </c>
      <c r="AY8" s="30"/>
      <c r="AZ8" s="29" t="str">
        <f t="shared" si="7"/>
        <v/>
      </c>
      <c r="BA8" t="str">
        <f>IF(AZ8="","",_xlfn.RANK.EQ(AZ8,$AZ$7:$AZ$34,1)+COUNTIF($AZ$7:AZ8,AZ8)-1)</f>
        <v/>
      </c>
      <c r="BB8" s="19" t="str">
        <f t="shared" ref="BB8:BB34" si="18">IFERROR((1000+200*(AVERAGE($AZ$7:$AZ$34)-AZ8)/_xlfn.STDEV.P($AZ$7:$AZ$34)),"")</f>
        <v/>
      </c>
      <c r="BC8" s="18" t="str">
        <f t="shared" ref="BC8:BC34" si="19">IFERROR(((1000*SMALL($AZ$7:$AZ$34,1)/AZ8)),"")</f>
        <v/>
      </c>
      <c r="BD8" s="17" t="str">
        <f t="shared" ref="BD8:BD34" si="20">IF(AZ8="","",IF(AZ8&gt;=2*SMALL($AZ$7:$AZ$34,1),0,1000-((AZ8-SMALL($AZ$7:$AZ$34,1))/SMALL($AZ$7:$AZ$34,1)*100)))</f>
        <v/>
      </c>
      <c r="BE8" s="16" t="str">
        <f t="shared" ref="BE8:BE34" si="21">IFERROR((1000-MINUTE(AZ8-SMALL($AZ$7:$AZ$34,1))),"~")</f>
        <v>~</v>
      </c>
      <c r="BF8" s="31">
        <f t="shared" ref="BF8:BF34" si="22">SUM(BC8,AQ8,U8,I8,AF8)</f>
        <v>1000.0000000000001</v>
      </c>
    </row>
    <row r="9" spans="1:58" x14ac:dyDescent="0.25">
      <c r="A9">
        <v>3</v>
      </c>
      <c r="B9" t="s">
        <v>3</v>
      </c>
      <c r="C9" t="s">
        <v>19</v>
      </c>
      <c r="D9">
        <f>VLOOKUP(C9,Lookups!$E$2:$F$47,2,FALSE)</f>
        <v>0.63</v>
      </c>
      <c r="E9" s="30"/>
      <c r="F9" s="29" t="str">
        <f t="shared" si="0"/>
        <v/>
      </c>
      <c r="G9" t="str">
        <f>IF(F9="","",_xlfn.RANK.EQ(F9,$F$7:$F$34,1)+COUNTIF($F$7:F9,F9)-1)</f>
        <v/>
      </c>
      <c r="H9" s="19" t="str">
        <f t="shared" si="1"/>
        <v/>
      </c>
      <c r="I9" s="18" t="str">
        <f t="shared" ref="I9:I34" si="23">IFERROR(((1000*SMALL($F$7:$F$34,1)/F9)),"")</f>
        <v/>
      </c>
      <c r="J9" s="17" t="str">
        <f t="shared" ref="J9:J34" si="24">IF(F9="","",IF(F9&gt;=2*SMALL($F$7:$F$34,1),0,1000-((F9-SMALL($F$7:$F$34,1))/SMALL($F$7:$F$34,1)*100)))</f>
        <v/>
      </c>
      <c r="K9" s="16" t="str">
        <f t="shared" si="3"/>
        <v>~</v>
      </c>
      <c r="M9">
        <v>3</v>
      </c>
      <c r="N9" t="s">
        <v>3</v>
      </c>
      <c r="O9" t="s">
        <v>19</v>
      </c>
      <c r="P9">
        <f>VLOOKUP(O9,Lookups!$E$2:$F$47,2,FALSE)</f>
        <v>0.63</v>
      </c>
      <c r="Q9" s="30"/>
      <c r="R9" s="29" t="str">
        <f t="shared" si="4"/>
        <v/>
      </c>
      <c r="S9" t="str">
        <f>IF(R9="","",_xlfn.RANK.EQ(R9,$R$7:$R$34,1)+COUNTIF($R$7:R9,R9)-1)</f>
        <v/>
      </c>
      <c r="T9" s="19" t="str">
        <f t="shared" si="8"/>
        <v/>
      </c>
      <c r="U9" s="18" t="str">
        <f t="shared" ref="U9:U34" si="25">IFERROR(((1000*SMALL($F$7:$F$34,1)/R9)),"")</f>
        <v/>
      </c>
      <c r="V9" s="17" t="str">
        <f t="shared" si="9"/>
        <v/>
      </c>
      <c r="W9" s="16" t="str">
        <f t="shared" si="10"/>
        <v>~</v>
      </c>
      <c r="X9" s="129"/>
      <c r="Y9" t="s">
        <v>3</v>
      </c>
      <c r="Z9" t="s">
        <v>19</v>
      </c>
      <c r="AA9">
        <f>VLOOKUP(Z9,Lookups!$E$2:$F$47,2,FALSE)</f>
        <v>0.63</v>
      </c>
      <c r="AB9" s="30">
        <v>3.1574074074074074E-2</v>
      </c>
      <c r="AC9" s="29">
        <f t="shared" si="5"/>
        <v>1.9891666666666665E-2</v>
      </c>
      <c r="AD9">
        <f>IF(AC9="","",_xlfn.RANK.EQ(AC9,$AC$8:$AC$35,1)+COUNTIF($AC$7:AC9,AC9)-1)</f>
        <v>1</v>
      </c>
      <c r="AE9" s="19">
        <f t="shared" si="11"/>
        <v>1627.1842789749112</v>
      </c>
      <c r="AF9" s="18">
        <f>IFERROR(((1000*SMALL($AC$7:$AC$34,1)/AC9)),"")</f>
        <v>1000</v>
      </c>
      <c r="AG9" s="17">
        <f t="shared" si="12"/>
        <v>1051.8534289556253</v>
      </c>
      <c r="AH9" s="16" t="str">
        <f t="shared" si="13"/>
        <v>~</v>
      </c>
      <c r="AI9">
        <v>3</v>
      </c>
      <c r="AJ9" t="s">
        <v>3</v>
      </c>
      <c r="AK9" t="s">
        <v>19</v>
      </c>
      <c r="AL9">
        <f>VLOOKUP(AK9,Lookups!$E$2:$F$47,2,FALSE)</f>
        <v>0.63</v>
      </c>
      <c r="AM9" s="30"/>
      <c r="AN9" s="29" t="str">
        <f t="shared" si="6"/>
        <v/>
      </c>
      <c r="AO9" t="str">
        <f>IF(AN9="","",_xlfn.RANK.EQ(AN9,$AN$7:$AN$34,1)+COUNTIF($AN$7:AN9,AN9)-1)</f>
        <v/>
      </c>
      <c r="AP9" s="19" t="str">
        <f t="shared" si="14"/>
        <v/>
      </c>
      <c r="AQ9" s="18" t="str">
        <f t="shared" si="15"/>
        <v/>
      </c>
      <c r="AR9" s="17" t="str">
        <f t="shared" si="16"/>
        <v/>
      </c>
      <c r="AS9" s="16" t="str">
        <f t="shared" si="17"/>
        <v>~</v>
      </c>
      <c r="AU9">
        <v>3</v>
      </c>
      <c r="AV9" t="s">
        <v>3</v>
      </c>
      <c r="AW9" t="s">
        <v>19</v>
      </c>
      <c r="AX9">
        <f>VLOOKUP(AW9,Lookups!$E$2:$F$47,2,FALSE)</f>
        <v>0.63</v>
      </c>
      <c r="AY9" s="30"/>
      <c r="AZ9" s="29" t="str">
        <f t="shared" si="7"/>
        <v/>
      </c>
      <c r="BA9" t="str">
        <f>IF(AZ9="","",_xlfn.RANK.EQ(AZ9,$AZ$7:$AZ$34,1)+COUNTIF($AZ$7:AZ9,AZ9)-1)</f>
        <v/>
      </c>
      <c r="BB9" s="19" t="str">
        <f t="shared" si="18"/>
        <v/>
      </c>
      <c r="BC9" s="18" t="str">
        <f t="shared" si="19"/>
        <v/>
      </c>
      <c r="BD9" s="17" t="str">
        <f t="shared" si="20"/>
        <v/>
      </c>
      <c r="BE9" s="16" t="str">
        <f t="shared" si="21"/>
        <v>~</v>
      </c>
      <c r="BF9" s="31">
        <f t="shared" si="22"/>
        <v>1000</v>
      </c>
    </row>
    <row r="10" spans="1:58" x14ac:dyDescent="0.25">
      <c r="A10">
        <v>4</v>
      </c>
      <c r="B10" t="s">
        <v>23</v>
      </c>
      <c r="C10" t="s">
        <v>24</v>
      </c>
      <c r="D10">
        <f>VLOOKUP(C10,Lookups!$E$2:$F$47,2,FALSE)</f>
        <v>0.7</v>
      </c>
      <c r="E10" s="30"/>
      <c r="F10" s="29" t="str">
        <f t="shared" si="0"/>
        <v/>
      </c>
      <c r="G10" t="str">
        <f>IF(F10="","",_xlfn.RANK.EQ(F10,$F$7:$F$34,1)+COUNTIF($F$7:F10,F10)-1)</f>
        <v/>
      </c>
      <c r="H10" s="19" t="str">
        <f t="shared" si="1"/>
        <v/>
      </c>
      <c r="I10" s="18" t="str">
        <f t="shared" si="23"/>
        <v/>
      </c>
      <c r="J10" s="17" t="str">
        <f t="shared" si="24"/>
        <v/>
      </c>
      <c r="K10" s="16" t="str">
        <f t="shared" si="3"/>
        <v>~</v>
      </c>
      <c r="M10">
        <v>4</v>
      </c>
      <c r="N10" t="s">
        <v>23</v>
      </c>
      <c r="O10" t="s">
        <v>24</v>
      </c>
      <c r="P10">
        <f>VLOOKUP(O10,Lookups!$E$2:$F$47,2,FALSE)</f>
        <v>0.7</v>
      </c>
      <c r="Q10" s="30"/>
      <c r="R10" s="29" t="str">
        <f t="shared" si="4"/>
        <v/>
      </c>
      <c r="S10" t="str">
        <f>IF(R10="","",_xlfn.RANK.EQ(R10,$R$7:$R$34,1)+COUNTIF($R$7:R10,R10)-1)</f>
        <v/>
      </c>
      <c r="T10" s="19" t="str">
        <f t="shared" si="8"/>
        <v/>
      </c>
      <c r="U10" s="18" t="str">
        <f t="shared" si="25"/>
        <v/>
      </c>
      <c r="V10" s="17" t="str">
        <f t="shared" si="9"/>
        <v/>
      </c>
      <c r="W10" s="16" t="str">
        <f t="shared" si="10"/>
        <v>~</v>
      </c>
      <c r="X10" s="129"/>
      <c r="Y10" t="s">
        <v>23</v>
      </c>
      <c r="Z10" t="s">
        <v>24</v>
      </c>
      <c r="AA10">
        <f>VLOOKUP(Z10,Lookups!$E$2:$F$47,2,FALSE)</f>
        <v>0.7</v>
      </c>
      <c r="AB10" s="30"/>
      <c r="AC10" s="29" t="str">
        <f t="shared" si="5"/>
        <v/>
      </c>
      <c r="AD10" t="str">
        <f>IF(AC10="","",_xlfn.RANK.EQ(AC10,$AC$8:$AC$35,1)+COUNTIF($AC$7:AC10,AC10)-1)</f>
        <v/>
      </c>
      <c r="AE10" s="19" t="str">
        <f t="shared" si="11"/>
        <v/>
      </c>
      <c r="AF10" s="18" t="str">
        <f t="shared" ref="AF10:AF34" si="26">IFERROR(((1000*SMALL($AC$7:$AC$34,1)/AC10)),"")</f>
        <v/>
      </c>
      <c r="AG10" s="17" t="str">
        <f t="shared" si="12"/>
        <v/>
      </c>
      <c r="AH10" s="16" t="str">
        <f t="shared" si="13"/>
        <v>~</v>
      </c>
      <c r="AI10">
        <v>4</v>
      </c>
      <c r="AJ10" t="s">
        <v>23</v>
      </c>
      <c r="AK10" t="s">
        <v>24</v>
      </c>
      <c r="AL10">
        <f>VLOOKUP(AK10,Lookups!$E$2:$F$47,2,FALSE)</f>
        <v>0.7</v>
      </c>
      <c r="AM10" s="30">
        <v>4.3171296296296291E-2</v>
      </c>
      <c r="AN10" s="29">
        <f t="shared" si="6"/>
        <v>3.02199074074074E-2</v>
      </c>
      <c r="AO10">
        <f>IF(AN10="","",_xlfn.RANK.EQ(AN10,$AN$7:$AN$34,1)+COUNTIF($AN$7:AN10,AN10)-1)</f>
        <v>1</v>
      </c>
      <c r="AP10" s="19">
        <f t="shared" si="14"/>
        <v>1200.0000000000002</v>
      </c>
      <c r="AQ10" s="18">
        <f t="shared" si="15"/>
        <v>1000</v>
      </c>
      <c r="AR10" s="17">
        <f t="shared" si="16"/>
        <v>1000</v>
      </c>
      <c r="AS10" s="16">
        <f t="shared" si="17"/>
        <v>1000</v>
      </c>
      <c r="AU10">
        <v>4</v>
      </c>
      <c r="AV10" t="s">
        <v>23</v>
      </c>
      <c r="AW10" t="s">
        <v>24</v>
      </c>
      <c r="AX10">
        <f>VLOOKUP(AW10,Lookups!$E$2:$F$47,2,FALSE)</f>
        <v>0.7</v>
      </c>
      <c r="AY10" s="30"/>
      <c r="AZ10" s="29" t="str">
        <f t="shared" si="7"/>
        <v/>
      </c>
      <c r="BA10" t="str">
        <f>IF(AZ10="","",_xlfn.RANK.EQ(AZ10,$AZ$7:$AZ$34,1)+COUNTIF($AZ$7:AZ10,AZ10)-1)</f>
        <v/>
      </c>
      <c r="BB10" s="19" t="str">
        <f t="shared" si="18"/>
        <v/>
      </c>
      <c r="BC10" s="18" t="str">
        <f t="shared" si="19"/>
        <v/>
      </c>
      <c r="BD10" s="17" t="str">
        <f t="shared" si="20"/>
        <v/>
      </c>
      <c r="BE10" s="16" t="str">
        <f t="shared" si="21"/>
        <v>~</v>
      </c>
      <c r="BF10" s="31">
        <f t="shared" si="22"/>
        <v>1000</v>
      </c>
    </row>
    <row r="11" spans="1:58" x14ac:dyDescent="0.25">
      <c r="A11">
        <v>5</v>
      </c>
      <c r="B11" t="s">
        <v>6</v>
      </c>
      <c r="C11" t="s">
        <v>19</v>
      </c>
      <c r="D11">
        <f>VLOOKUP(C11,Lookups!$E$2:$F$47,2,FALSE)</f>
        <v>0.63</v>
      </c>
      <c r="E11" s="30"/>
      <c r="F11" s="29" t="str">
        <f t="shared" si="0"/>
        <v/>
      </c>
      <c r="G11" t="str">
        <f>IF(F11="","",_xlfn.RANK.EQ(F11,$F$7:$F$34,1)+COUNTIF($F$7:F11,F11)-1)</f>
        <v/>
      </c>
      <c r="H11" s="19" t="str">
        <f t="shared" si="1"/>
        <v/>
      </c>
      <c r="I11" s="18" t="str">
        <f t="shared" si="23"/>
        <v/>
      </c>
      <c r="J11" s="17" t="str">
        <f t="shared" si="24"/>
        <v/>
      </c>
      <c r="K11" s="16" t="str">
        <f t="shared" si="3"/>
        <v>~</v>
      </c>
      <c r="M11">
        <v>5</v>
      </c>
      <c r="N11" t="s">
        <v>6</v>
      </c>
      <c r="O11" t="s">
        <v>19</v>
      </c>
      <c r="P11">
        <f>VLOOKUP(O11,Lookups!$E$2:$F$47,2,FALSE)</f>
        <v>0.63</v>
      </c>
      <c r="Q11" s="30"/>
      <c r="R11" s="29" t="str">
        <f t="shared" si="4"/>
        <v/>
      </c>
      <c r="S11" t="str">
        <f>IF(R11="","",_xlfn.RANK.EQ(R11,$R$7:$R$34,1)+COUNTIF($R$7:R11,R11)-1)</f>
        <v/>
      </c>
      <c r="T11" s="19" t="str">
        <f t="shared" si="8"/>
        <v/>
      </c>
      <c r="U11" s="18" t="str">
        <f t="shared" si="25"/>
        <v/>
      </c>
      <c r="V11" s="17" t="str">
        <f t="shared" si="9"/>
        <v/>
      </c>
      <c r="W11" s="16" t="str">
        <f t="shared" si="10"/>
        <v>~</v>
      </c>
      <c r="X11" s="129"/>
      <c r="Y11" t="s">
        <v>6</v>
      </c>
      <c r="Z11" t="s">
        <v>19</v>
      </c>
      <c r="AA11">
        <f>VLOOKUP(Z11,Lookups!$E$2:$F$47,2,FALSE)</f>
        <v>0.63</v>
      </c>
      <c r="AB11" s="30">
        <v>3.4791666666666672E-2</v>
      </c>
      <c r="AC11" s="29">
        <f t="shared" si="5"/>
        <v>2.1918750000000004E-2</v>
      </c>
      <c r="AD11">
        <f>IF(AC11="","",_xlfn.RANK.EQ(AC11,$AC$8:$AC$35,1)+COUNTIF($AC$7:AC11,AC11)-1)</f>
        <v>2</v>
      </c>
      <c r="AE11" s="19">
        <f t="shared" si="11"/>
        <v>1592.0089479821872</v>
      </c>
      <c r="AF11" s="18">
        <f t="shared" si="26"/>
        <v>907.51829673985344</v>
      </c>
      <c r="AG11" s="17">
        <f t="shared" si="12"/>
        <v>1046.9469968623935</v>
      </c>
      <c r="AH11" s="16" t="str">
        <f t="shared" si="13"/>
        <v>~</v>
      </c>
      <c r="AI11">
        <v>5</v>
      </c>
      <c r="AJ11" t="s">
        <v>6</v>
      </c>
      <c r="AK11" t="s">
        <v>19</v>
      </c>
      <c r="AL11">
        <f>VLOOKUP(AK11,Lookups!$E$2:$F$47,2,FALSE)</f>
        <v>0.63</v>
      </c>
      <c r="AM11" s="30"/>
      <c r="AN11" s="29" t="str">
        <f t="shared" si="6"/>
        <v/>
      </c>
      <c r="AO11" t="str">
        <f>IF(AN11="","",_xlfn.RANK.EQ(AN11,$AN$7:$AN$34,1)+COUNTIF($AN$7:AN11,AN11)-1)</f>
        <v/>
      </c>
      <c r="AP11" s="19" t="str">
        <f t="shared" si="14"/>
        <v/>
      </c>
      <c r="AQ11" s="18" t="str">
        <f t="shared" si="15"/>
        <v/>
      </c>
      <c r="AR11" s="17" t="str">
        <f t="shared" si="16"/>
        <v/>
      </c>
      <c r="AS11" s="16" t="str">
        <f t="shared" si="17"/>
        <v>~</v>
      </c>
      <c r="AU11">
        <v>5</v>
      </c>
      <c r="AV11" t="s">
        <v>6</v>
      </c>
      <c r="AW11" t="s">
        <v>19</v>
      </c>
      <c r="AX11">
        <f>VLOOKUP(AW11,Lookups!$E$2:$F$47,2,FALSE)</f>
        <v>0.63</v>
      </c>
      <c r="AY11" s="30"/>
      <c r="AZ11" s="29" t="str">
        <f t="shared" si="7"/>
        <v/>
      </c>
      <c r="BA11" t="str">
        <f>IF(AZ11="","",_xlfn.RANK.EQ(AZ11,$AZ$7:$AZ$34,1)+COUNTIF($AZ$7:AZ11,AZ11)-1)</f>
        <v/>
      </c>
      <c r="BB11" s="19" t="str">
        <f t="shared" si="18"/>
        <v/>
      </c>
      <c r="BC11" s="18" t="str">
        <f t="shared" si="19"/>
        <v/>
      </c>
      <c r="BD11" s="17" t="str">
        <f t="shared" si="20"/>
        <v/>
      </c>
      <c r="BE11" s="16" t="str">
        <f t="shared" si="21"/>
        <v>~</v>
      </c>
      <c r="BF11" s="31">
        <f t="shared" si="22"/>
        <v>907.51829673985344</v>
      </c>
    </row>
    <row r="12" spans="1:58" x14ac:dyDescent="0.25">
      <c r="A12">
        <v>6</v>
      </c>
      <c r="B12" t="s">
        <v>0</v>
      </c>
      <c r="C12" t="s">
        <v>27</v>
      </c>
      <c r="D12">
        <f>VLOOKUP(C12,Lookups!$E$2:$F$47,2,FALSE)</f>
        <v>0.86</v>
      </c>
      <c r="E12" s="30"/>
      <c r="F12" s="29" t="str">
        <f t="shared" si="0"/>
        <v/>
      </c>
      <c r="G12" t="str">
        <f>IF(F12="","",_xlfn.RANK.EQ(F12,$F$7:$F$34,1)+COUNTIF($F$7:F12,F12)-1)</f>
        <v/>
      </c>
      <c r="H12" s="19" t="str">
        <f t="shared" si="1"/>
        <v/>
      </c>
      <c r="I12" s="18" t="str">
        <f t="shared" si="23"/>
        <v/>
      </c>
      <c r="J12" s="17" t="str">
        <f t="shared" si="24"/>
        <v/>
      </c>
      <c r="K12" s="16" t="str">
        <f t="shared" si="3"/>
        <v>~</v>
      </c>
      <c r="M12">
        <v>6</v>
      </c>
      <c r="N12" t="s">
        <v>0</v>
      </c>
      <c r="O12" t="s">
        <v>27</v>
      </c>
      <c r="P12">
        <f>VLOOKUP(O12,Lookups!$E$2:$F$47,2,FALSE)</f>
        <v>0.86</v>
      </c>
      <c r="Q12" s="30">
        <v>6.6666666666666666E-2</v>
      </c>
      <c r="R12" s="29">
        <f t="shared" si="4"/>
        <v>5.7333333333333333E-2</v>
      </c>
      <c r="S12">
        <f>IF(R12="","",_xlfn.RANK.EQ(R12,$R$7:$R$34,1)+COUNTIF($R$7:R12,R12)-1)</f>
        <v>2</v>
      </c>
      <c r="T12" s="19">
        <f t="shared" si="8"/>
        <v>977.47097105996818</v>
      </c>
      <c r="U12" s="18">
        <f t="shared" si="25"/>
        <v>873.36482558139528</v>
      </c>
      <c r="V12" s="17">
        <f t="shared" si="9"/>
        <v>961.22814881219188</v>
      </c>
      <c r="W12" s="16">
        <f t="shared" si="10"/>
        <v>977</v>
      </c>
      <c r="X12" s="129"/>
      <c r="Y12" t="s">
        <v>0</v>
      </c>
      <c r="Z12" t="s">
        <v>27</v>
      </c>
      <c r="AA12">
        <f>VLOOKUP(Z12,Lookups!$E$2:$F$47,2,FALSE)</f>
        <v>0.86</v>
      </c>
      <c r="AB12" s="30"/>
      <c r="AC12" s="29" t="str">
        <f t="shared" si="5"/>
        <v/>
      </c>
      <c r="AD12" t="str">
        <f>IF(AC12="","",_xlfn.RANK.EQ(AC12,$AC$8:$AC$35,1)+COUNTIF($AC$7:AC12,AC12)-1)</f>
        <v/>
      </c>
      <c r="AE12" s="19" t="str">
        <f t="shared" si="11"/>
        <v/>
      </c>
      <c r="AF12" s="18" t="str">
        <f t="shared" si="26"/>
        <v/>
      </c>
      <c r="AG12" s="17" t="str">
        <f t="shared" si="12"/>
        <v/>
      </c>
      <c r="AH12" s="16" t="str">
        <f t="shared" si="13"/>
        <v>~</v>
      </c>
      <c r="AI12">
        <v>6</v>
      </c>
      <c r="AJ12" t="s">
        <v>0</v>
      </c>
      <c r="AK12" t="s">
        <v>27</v>
      </c>
      <c r="AL12">
        <f>VLOOKUP(AK12,Lookups!$E$2:$F$47,2,FALSE)</f>
        <v>0.86</v>
      </c>
      <c r="AM12" s="30"/>
      <c r="AN12" s="29" t="str">
        <f t="shared" si="6"/>
        <v/>
      </c>
      <c r="AO12" t="str">
        <f>IF(AN12="","",_xlfn.RANK.EQ(AN12,$AN$7:$AN$34,1)+COUNTIF($AN$7:AN12,AN12)-1)</f>
        <v/>
      </c>
      <c r="AP12" s="19" t="str">
        <f t="shared" si="14"/>
        <v/>
      </c>
      <c r="AQ12" s="18" t="str">
        <f t="shared" si="15"/>
        <v/>
      </c>
      <c r="AR12" s="17" t="str">
        <f t="shared" si="16"/>
        <v/>
      </c>
      <c r="AS12" s="16" t="str">
        <f t="shared" si="17"/>
        <v>~</v>
      </c>
      <c r="AU12">
        <v>6</v>
      </c>
      <c r="AV12" t="s">
        <v>0</v>
      </c>
      <c r="AW12" t="s">
        <v>27</v>
      </c>
      <c r="AX12">
        <f>VLOOKUP(AW12,Lookups!$E$2:$F$47,2,FALSE)</f>
        <v>0.86</v>
      </c>
      <c r="AY12" s="30"/>
      <c r="AZ12" s="29" t="str">
        <f t="shared" si="7"/>
        <v/>
      </c>
      <c r="BA12" t="str">
        <f>IF(AZ12="","",_xlfn.RANK.EQ(AZ12,$AZ$7:$AZ$34,1)+COUNTIF($AZ$7:AZ12,AZ12)-1)</f>
        <v/>
      </c>
      <c r="BB12" s="19" t="str">
        <f t="shared" si="18"/>
        <v/>
      </c>
      <c r="BC12" s="18" t="str">
        <f t="shared" si="19"/>
        <v/>
      </c>
      <c r="BD12" s="17" t="str">
        <f t="shared" si="20"/>
        <v/>
      </c>
      <c r="BE12" s="16" t="str">
        <f t="shared" si="21"/>
        <v>~</v>
      </c>
      <c r="BF12" s="31">
        <f t="shared" si="22"/>
        <v>873.36482558139528</v>
      </c>
    </row>
    <row r="13" spans="1:58" x14ac:dyDescent="0.25">
      <c r="A13">
        <v>7</v>
      </c>
      <c r="B13" t="s">
        <v>5</v>
      </c>
      <c r="C13" t="s">
        <v>43</v>
      </c>
      <c r="D13">
        <f>VLOOKUP(C13,Lookups!$E$2:$F$47,2,FALSE)</f>
        <v>0.64</v>
      </c>
      <c r="E13" s="30"/>
      <c r="F13" s="29" t="str">
        <f t="shared" si="0"/>
        <v/>
      </c>
      <c r="G13" t="str">
        <f>IF(F13="","",_xlfn.RANK.EQ(F13,$F$7:$F$34,1)+COUNTIF($F$7:F13,F13)-1)</f>
        <v/>
      </c>
      <c r="H13" s="19" t="str">
        <f t="shared" si="1"/>
        <v/>
      </c>
      <c r="I13" s="18" t="str">
        <f t="shared" si="23"/>
        <v/>
      </c>
      <c r="J13" s="17" t="str">
        <f t="shared" si="24"/>
        <v/>
      </c>
      <c r="K13" s="16" t="str">
        <f t="shared" si="3"/>
        <v>~</v>
      </c>
      <c r="M13">
        <v>7</v>
      </c>
      <c r="N13" t="s">
        <v>5</v>
      </c>
      <c r="O13" t="s">
        <v>43</v>
      </c>
      <c r="P13">
        <f>VLOOKUP(O13,Lookups!$E$2:$F$47,2,FALSE)</f>
        <v>0.64</v>
      </c>
      <c r="Q13" s="30"/>
      <c r="R13" s="29" t="str">
        <f t="shared" si="4"/>
        <v/>
      </c>
      <c r="S13" t="str">
        <f>IF(R13="","",_xlfn.RANK.EQ(R13,$R$7:$R$34,1)+COUNTIF($R$7:R13,R13)-1)</f>
        <v/>
      </c>
      <c r="T13" s="19" t="str">
        <f t="shared" si="8"/>
        <v/>
      </c>
      <c r="U13" s="18" t="str">
        <f t="shared" si="25"/>
        <v/>
      </c>
      <c r="V13" s="17" t="str">
        <f t="shared" si="9"/>
        <v/>
      </c>
      <c r="W13" s="16" t="str">
        <f t="shared" si="10"/>
        <v>~</v>
      </c>
      <c r="X13" s="129"/>
      <c r="Y13" t="s">
        <v>5</v>
      </c>
      <c r="Z13" t="s">
        <v>43</v>
      </c>
      <c r="AA13">
        <f>VLOOKUP(Z13,Lookups!$E$2:$F$47,2,FALSE)</f>
        <v>0.64</v>
      </c>
      <c r="AB13" s="30"/>
      <c r="AC13" s="29" t="str">
        <f t="shared" si="5"/>
        <v/>
      </c>
      <c r="AD13" t="str">
        <f>IF(AC13="","",_xlfn.RANK.EQ(AC13,$AC$8:$AC$35,1)+COUNTIF($AC$7:AC13,AC13)-1)</f>
        <v/>
      </c>
      <c r="AE13" s="19" t="str">
        <f t="shared" si="11"/>
        <v/>
      </c>
      <c r="AF13" s="18" t="str">
        <f t="shared" si="26"/>
        <v/>
      </c>
      <c r="AG13" s="17" t="str">
        <f t="shared" si="12"/>
        <v/>
      </c>
      <c r="AH13" s="16" t="str">
        <f t="shared" si="13"/>
        <v>~</v>
      </c>
      <c r="AI13">
        <v>7</v>
      </c>
      <c r="AJ13" t="s">
        <v>5</v>
      </c>
      <c r="AK13" t="s">
        <v>43</v>
      </c>
      <c r="AL13">
        <f>VLOOKUP(AK13,Lookups!$E$2:$F$47,2,FALSE)</f>
        <v>0.64</v>
      </c>
      <c r="AM13" s="30"/>
      <c r="AN13" s="29" t="str">
        <f t="shared" si="6"/>
        <v/>
      </c>
      <c r="AO13" t="str">
        <f>IF(AN13="","",_xlfn.RANK.EQ(AN13,$AN$7:$AN$34,1)+COUNTIF($AN$7:AN13,AN13)-1)</f>
        <v/>
      </c>
      <c r="AP13" s="19" t="str">
        <f t="shared" si="14"/>
        <v/>
      </c>
      <c r="AQ13" s="18" t="str">
        <f t="shared" si="15"/>
        <v/>
      </c>
      <c r="AR13" s="17" t="str">
        <f t="shared" si="16"/>
        <v/>
      </c>
      <c r="AS13" s="16" t="str">
        <f t="shared" si="17"/>
        <v>~</v>
      </c>
      <c r="AU13">
        <v>7</v>
      </c>
      <c r="AV13" t="s">
        <v>5</v>
      </c>
      <c r="AW13" t="s">
        <v>43</v>
      </c>
      <c r="AX13">
        <f>VLOOKUP(AW13,Lookups!$E$2:$F$47,2,FALSE)</f>
        <v>0.64</v>
      </c>
      <c r="AY13" s="30"/>
      <c r="AZ13" s="29" t="str">
        <f t="shared" si="7"/>
        <v/>
      </c>
      <c r="BA13" t="str">
        <f>IF(AZ13="","",_xlfn.RANK.EQ(AZ13,$AZ$7:$AZ$34,1)+COUNTIF($AZ$7:AZ13,AZ13)-1)</f>
        <v/>
      </c>
      <c r="BB13" s="19" t="str">
        <f t="shared" si="18"/>
        <v/>
      </c>
      <c r="BC13" s="18" t="str">
        <f t="shared" si="19"/>
        <v/>
      </c>
      <c r="BD13" s="17" t="str">
        <f t="shared" si="20"/>
        <v/>
      </c>
      <c r="BE13" s="16" t="str">
        <f t="shared" si="21"/>
        <v>~</v>
      </c>
      <c r="BF13" s="33" t="str">
        <f>" "</f>
        <v xml:space="preserve"> </v>
      </c>
    </row>
    <row r="14" spans="1:58" x14ac:dyDescent="0.25">
      <c r="A14">
        <v>8</v>
      </c>
      <c r="B14" t="s">
        <v>29</v>
      </c>
      <c r="C14" t="s">
        <v>39</v>
      </c>
      <c r="D14">
        <f>VLOOKUP(C14,Lookups!$E$2:$F$47,2,FALSE)</f>
        <v>0.9</v>
      </c>
      <c r="E14" s="30">
        <v>8.7939814814814818E-2</v>
      </c>
      <c r="F14" s="29">
        <f t="shared" si="0"/>
        <v>7.9145833333333332E-2</v>
      </c>
      <c r="G14">
        <f>IF(F14="","",_xlfn.RANK.EQ(F14,$F$7:$F$34,1)+COUNTIF($F$7:F14,F14)-1)</f>
        <v>3</v>
      </c>
      <c r="H14" s="19">
        <f t="shared" si="1"/>
        <v>806.43880722295785</v>
      </c>
      <c r="I14" s="18">
        <f t="shared" si="23"/>
        <v>632.66649118188991</v>
      </c>
      <c r="J14" s="17">
        <f t="shared" si="24"/>
        <v>941.93883919284372</v>
      </c>
      <c r="K14" s="16">
        <f t="shared" si="3"/>
        <v>959</v>
      </c>
      <c r="M14">
        <v>8</v>
      </c>
      <c r="N14" t="s">
        <v>29</v>
      </c>
      <c r="O14" t="s">
        <v>39</v>
      </c>
      <c r="P14">
        <f>VLOOKUP(O14,Lookups!$E$2:$F$47,2,FALSE)</f>
        <v>0.9</v>
      </c>
      <c r="Q14" s="30"/>
      <c r="R14" s="29" t="str">
        <f t="shared" si="4"/>
        <v/>
      </c>
      <c r="S14" t="str">
        <f>IF(R14="","",_xlfn.RANK.EQ(R14,$R$7:$R$34,1)+COUNTIF($R$7:R14,R14)-1)</f>
        <v/>
      </c>
      <c r="T14" s="19" t="str">
        <f t="shared" si="8"/>
        <v/>
      </c>
      <c r="U14" s="18" t="str">
        <f t="shared" si="25"/>
        <v/>
      </c>
      <c r="V14" s="17" t="str">
        <f t="shared" si="9"/>
        <v/>
      </c>
      <c r="W14" s="16" t="str">
        <f t="shared" si="10"/>
        <v>~</v>
      </c>
      <c r="X14" s="129"/>
      <c r="Y14" t="s">
        <v>29</v>
      </c>
      <c r="Z14" t="s">
        <v>39</v>
      </c>
      <c r="AA14">
        <f>VLOOKUP(Z14,Lookups!$E$2:$F$47,2,FALSE)</f>
        <v>0.9</v>
      </c>
      <c r="AB14" s="30"/>
      <c r="AC14" s="29" t="str">
        <f t="shared" si="5"/>
        <v/>
      </c>
      <c r="AD14" t="str">
        <f>IF(AC14="","",_xlfn.RANK.EQ(AC14,$AC$8:$AC$35,1)+COUNTIF($AC$7:AC14,AC14)-1)</f>
        <v/>
      </c>
      <c r="AE14" s="19" t="str">
        <f t="shared" si="11"/>
        <v/>
      </c>
      <c r="AF14" s="18" t="str">
        <f t="shared" si="26"/>
        <v/>
      </c>
      <c r="AG14" s="17" t="str">
        <f t="shared" si="12"/>
        <v/>
      </c>
      <c r="AH14" s="16" t="str">
        <f t="shared" si="13"/>
        <v>~</v>
      </c>
      <c r="AI14">
        <v>8</v>
      </c>
      <c r="AJ14" t="s">
        <v>29</v>
      </c>
      <c r="AK14" t="s">
        <v>39</v>
      </c>
      <c r="AL14">
        <f>VLOOKUP(AK14,Lookups!$E$2:$F$47,2,FALSE)</f>
        <v>0.9</v>
      </c>
      <c r="AM14" s="30"/>
      <c r="AN14" s="29" t="str">
        <f t="shared" si="6"/>
        <v/>
      </c>
      <c r="AO14" t="str">
        <f>IF(AN14="","",_xlfn.RANK.EQ(AN14,$AN$7:$AN$34,1)+COUNTIF($AN$7:AN14,AN14)-1)</f>
        <v/>
      </c>
      <c r="AP14" s="19" t="str">
        <f t="shared" si="14"/>
        <v/>
      </c>
      <c r="AQ14" s="18" t="str">
        <f t="shared" si="15"/>
        <v/>
      </c>
      <c r="AR14" s="17" t="str">
        <f t="shared" si="16"/>
        <v/>
      </c>
      <c r="AS14" s="16" t="str">
        <f t="shared" si="17"/>
        <v>~</v>
      </c>
      <c r="AU14">
        <v>8</v>
      </c>
      <c r="AV14" t="s">
        <v>29</v>
      </c>
      <c r="AW14" t="s">
        <v>39</v>
      </c>
      <c r="AX14">
        <f>VLOOKUP(AW14,Lookups!$E$2:$F$47,2,FALSE)</f>
        <v>0.9</v>
      </c>
      <c r="AY14" s="30"/>
      <c r="AZ14" s="29" t="str">
        <f t="shared" si="7"/>
        <v/>
      </c>
      <c r="BA14" t="str">
        <f>IF(AZ14="","",_xlfn.RANK.EQ(AZ14,$AZ$7:$AZ$34,1)+COUNTIF($AZ$7:AZ14,AZ14)-1)</f>
        <v/>
      </c>
      <c r="BB14" s="19" t="str">
        <f t="shared" si="18"/>
        <v/>
      </c>
      <c r="BC14" s="18" t="str">
        <f t="shared" si="19"/>
        <v/>
      </c>
      <c r="BD14" s="17" t="str">
        <f t="shared" si="20"/>
        <v/>
      </c>
      <c r="BE14" s="16" t="str">
        <f t="shared" si="21"/>
        <v>~</v>
      </c>
      <c r="BF14" s="31">
        <f t="shared" si="22"/>
        <v>632.66649118188991</v>
      </c>
    </row>
    <row r="15" spans="1:58" x14ac:dyDescent="0.25">
      <c r="A15">
        <v>9</v>
      </c>
      <c r="B15" t="s">
        <v>30</v>
      </c>
      <c r="C15" t="s">
        <v>21</v>
      </c>
      <c r="D15">
        <f>VLOOKUP(C15,Lookups!$E$2:$F$47,2,FALSE)</f>
        <v>0.84</v>
      </c>
      <c r="E15" s="30"/>
      <c r="F15" s="29" t="str">
        <f t="shared" si="0"/>
        <v/>
      </c>
      <c r="G15" t="str">
        <f>IF(F15="","",_xlfn.RANK.EQ(F15,$F$7:$F$34,1)+COUNTIF($F$7:F15,F15)-1)</f>
        <v/>
      </c>
      <c r="H15" s="19" t="str">
        <f t="shared" si="1"/>
        <v/>
      </c>
      <c r="I15" s="18" t="str">
        <f t="shared" si="23"/>
        <v/>
      </c>
      <c r="J15" s="17" t="str">
        <f t="shared" si="24"/>
        <v/>
      </c>
      <c r="K15" s="16" t="str">
        <f t="shared" si="3"/>
        <v>~</v>
      </c>
      <c r="M15">
        <v>9</v>
      </c>
      <c r="N15" t="s">
        <v>30</v>
      </c>
      <c r="O15" t="s">
        <v>21</v>
      </c>
      <c r="P15">
        <f>VLOOKUP(O15,Lookups!$E$2:$F$47,2,FALSE)</f>
        <v>0.84</v>
      </c>
      <c r="Q15" s="30"/>
      <c r="R15" s="29" t="str">
        <f t="shared" si="4"/>
        <v/>
      </c>
      <c r="S15" t="str">
        <f>IF(R15="","",_xlfn.RANK.EQ(R15,$R$7:$R$34,1)+COUNTIF($R$7:R15,R15)-1)</f>
        <v/>
      </c>
      <c r="T15" s="19" t="str">
        <f t="shared" si="8"/>
        <v/>
      </c>
      <c r="U15" s="18" t="str">
        <f t="shared" si="25"/>
        <v/>
      </c>
      <c r="V15" s="17" t="str">
        <f t="shared" si="9"/>
        <v/>
      </c>
      <c r="W15" s="16" t="str">
        <f t="shared" si="10"/>
        <v>~</v>
      </c>
      <c r="X15" s="129"/>
      <c r="Y15" t="s">
        <v>30</v>
      </c>
      <c r="Z15" t="s">
        <v>21</v>
      </c>
      <c r="AA15">
        <f>VLOOKUP(Z15,Lookups!$E$2:$F$47,2,FALSE)</f>
        <v>0.84</v>
      </c>
      <c r="AB15" s="30"/>
      <c r="AC15" s="29" t="str">
        <f t="shared" si="5"/>
        <v/>
      </c>
      <c r="AD15" t="str">
        <f>IF(AC15="","",_xlfn.RANK.EQ(AC15,$AC$8:$AC$35,1)+COUNTIF($AC$7:AC15,AC15)-1)</f>
        <v/>
      </c>
      <c r="AE15" s="19" t="str">
        <f t="shared" si="11"/>
        <v/>
      </c>
      <c r="AF15" s="18" t="str">
        <f t="shared" si="26"/>
        <v/>
      </c>
      <c r="AG15" s="17" t="str">
        <f t="shared" si="12"/>
        <v/>
      </c>
      <c r="AH15" s="16" t="str">
        <f t="shared" si="13"/>
        <v>~</v>
      </c>
      <c r="AI15">
        <v>9</v>
      </c>
      <c r="AJ15" t="s">
        <v>30</v>
      </c>
      <c r="AK15" t="s">
        <v>21</v>
      </c>
      <c r="AL15">
        <f>VLOOKUP(AK15,Lookups!$E$2:$F$47,2,FALSE)</f>
        <v>0.84</v>
      </c>
      <c r="AM15" s="30">
        <v>3.8877314814814816E-2</v>
      </c>
      <c r="AN15" s="29">
        <f t="shared" si="6"/>
        <v>3.2656944444444447E-2</v>
      </c>
      <c r="AO15">
        <f>IF(AN15="","",_xlfn.RANK.EQ(AN15,$AN$7:$AN$34,1)+COUNTIF($AN$7:AN15,AN15)-1)</f>
        <v>2</v>
      </c>
      <c r="AP15" s="19">
        <f t="shared" si="14"/>
        <v>800.00000000000023</v>
      </c>
      <c r="AQ15" s="18">
        <f t="shared" si="15"/>
        <v>925.37461546095039</v>
      </c>
      <c r="AR15" s="17">
        <f t="shared" si="16"/>
        <v>991.93565683646113</v>
      </c>
      <c r="AS15" s="16">
        <f t="shared" si="17"/>
        <v>997</v>
      </c>
      <c r="AU15">
        <v>9</v>
      </c>
      <c r="AV15" t="s">
        <v>30</v>
      </c>
      <c r="AW15" t="s">
        <v>21</v>
      </c>
      <c r="AX15">
        <f>VLOOKUP(AW15,Lookups!$E$2:$F$47,2,FALSE)</f>
        <v>0.84</v>
      </c>
      <c r="AY15" s="30"/>
      <c r="AZ15" s="29" t="str">
        <f t="shared" si="7"/>
        <v/>
      </c>
      <c r="BA15" t="str">
        <f>IF(AZ15="","",_xlfn.RANK.EQ(AZ15,$AZ$7:$AZ$34,1)+COUNTIF($AZ$7:AZ15,AZ15)-1)</f>
        <v/>
      </c>
      <c r="BB15" s="19" t="str">
        <f t="shared" si="18"/>
        <v/>
      </c>
      <c r="BC15" s="18" t="str">
        <f t="shared" si="19"/>
        <v/>
      </c>
      <c r="BD15" s="17" t="str">
        <f t="shared" si="20"/>
        <v/>
      </c>
      <c r="BE15" s="16" t="str">
        <f t="shared" si="21"/>
        <v>~</v>
      </c>
      <c r="BF15" s="31">
        <f t="shared" si="22"/>
        <v>925.37461546095039</v>
      </c>
    </row>
    <row r="16" spans="1:58" x14ac:dyDescent="0.25">
      <c r="A16">
        <v>10</v>
      </c>
      <c r="B16" t="s">
        <v>25</v>
      </c>
      <c r="C16" t="s">
        <v>26</v>
      </c>
      <c r="D16">
        <f>VLOOKUP(C16,Lookups!$E$2:$F$47,2,FALSE)</f>
        <v>0.67</v>
      </c>
      <c r="E16" s="30"/>
      <c r="F16" s="29" t="str">
        <f t="shared" si="0"/>
        <v/>
      </c>
      <c r="G16" t="str">
        <f>IF(F16="","",_xlfn.RANK.EQ(F16,$F$7:$F$34,1)+COUNTIF($F$7:F16,F16)-1)</f>
        <v/>
      </c>
      <c r="H16" s="19" t="str">
        <f t="shared" si="1"/>
        <v/>
      </c>
      <c r="I16" s="18" t="str">
        <f t="shared" si="23"/>
        <v/>
      </c>
      <c r="J16" s="17" t="str">
        <f t="shared" si="24"/>
        <v/>
      </c>
      <c r="K16" s="16" t="str">
        <f t="shared" si="3"/>
        <v>~</v>
      </c>
      <c r="M16">
        <v>10</v>
      </c>
      <c r="N16" t="s">
        <v>25</v>
      </c>
      <c r="O16" t="s">
        <v>26</v>
      </c>
      <c r="P16">
        <f>VLOOKUP(O16,Lookups!$E$2:$F$47,2,FALSE)</f>
        <v>0.67</v>
      </c>
      <c r="Q16" s="30"/>
      <c r="R16" s="29" t="str">
        <f t="shared" si="4"/>
        <v/>
      </c>
      <c r="S16" t="str">
        <f>IF(R16="","",_xlfn.RANK.EQ(R16,$R$7:$R$34,1)+COUNTIF($R$7:R16,R16)-1)</f>
        <v/>
      </c>
      <c r="T16" s="19" t="str">
        <f t="shared" si="8"/>
        <v/>
      </c>
      <c r="U16" s="18" t="str">
        <f t="shared" si="25"/>
        <v/>
      </c>
      <c r="V16" s="17" t="str">
        <f t="shared" si="9"/>
        <v/>
      </c>
      <c r="W16" s="16" t="str">
        <f t="shared" si="10"/>
        <v>~</v>
      </c>
      <c r="X16" s="129"/>
      <c r="Y16" t="s">
        <v>25</v>
      </c>
      <c r="Z16" t="s">
        <v>26</v>
      </c>
      <c r="AA16">
        <f>VLOOKUP(Z16,Lookups!$E$2:$F$47,2,FALSE)</f>
        <v>0.67</v>
      </c>
      <c r="AB16" s="30"/>
      <c r="AC16" s="29" t="str">
        <f t="shared" si="5"/>
        <v/>
      </c>
      <c r="AD16" t="str">
        <f>IF(AC16="","",_xlfn.RANK.EQ(AC16,$AC$8:$AC$35,1)+COUNTIF($AC$7:AC16,AC16)-1)</f>
        <v/>
      </c>
      <c r="AE16" s="19" t="str">
        <f t="shared" si="11"/>
        <v/>
      </c>
      <c r="AF16" s="18" t="str">
        <f t="shared" si="26"/>
        <v/>
      </c>
      <c r="AG16" s="17" t="str">
        <f t="shared" si="12"/>
        <v/>
      </c>
      <c r="AH16" s="16" t="str">
        <f t="shared" si="13"/>
        <v>~</v>
      </c>
      <c r="AI16">
        <v>10</v>
      </c>
      <c r="AJ16" t="s">
        <v>25</v>
      </c>
      <c r="AK16" t="s">
        <v>26</v>
      </c>
      <c r="AL16">
        <f>VLOOKUP(AK16,Lookups!$E$2:$F$47,2,FALSE)</f>
        <v>0.67</v>
      </c>
      <c r="AM16" s="30"/>
      <c r="AN16" s="29" t="str">
        <f t="shared" si="6"/>
        <v/>
      </c>
      <c r="AO16" t="str">
        <f>IF(AN16="","",_xlfn.RANK.EQ(AN16,$AN$7:$AN$34,1)+COUNTIF($AN$7:AN16,AN16)-1)</f>
        <v/>
      </c>
      <c r="AP16" s="19" t="str">
        <f t="shared" si="14"/>
        <v/>
      </c>
      <c r="AQ16" s="18" t="str">
        <f t="shared" si="15"/>
        <v/>
      </c>
      <c r="AR16" s="17" t="str">
        <f t="shared" si="16"/>
        <v/>
      </c>
      <c r="AS16" s="16" t="str">
        <f t="shared" si="17"/>
        <v>~</v>
      </c>
      <c r="AU16">
        <v>10</v>
      </c>
      <c r="AV16" t="s">
        <v>33</v>
      </c>
      <c r="AW16" t="s">
        <v>26</v>
      </c>
      <c r="AX16">
        <f>VLOOKUP(AW16,Lookups!$E$2:$F$47,2,FALSE)</f>
        <v>0.67</v>
      </c>
      <c r="AY16" s="30"/>
      <c r="AZ16" s="29" t="str">
        <f t="shared" si="7"/>
        <v/>
      </c>
      <c r="BA16" t="str">
        <f>IF(AZ16="","",_xlfn.RANK.EQ(AZ16,$AZ$7:$AZ$34,1)+COUNTIF($AZ$7:AZ16,AZ16)-1)</f>
        <v/>
      </c>
      <c r="BB16" s="19" t="str">
        <f t="shared" si="18"/>
        <v/>
      </c>
      <c r="BC16" s="18" t="str">
        <f t="shared" si="19"/>
        <v/>
      </c>
      <c r="BD16" s="17" t="str">
        <f t="shared" si="20"/>
        <v/>
      </c>
      <c r="BE16" s="16" t="str">
        <f t="shared" si="21"/>
        <v>~</v>
      </c>
      <c r="BF16" s="31" t="str">
        <f>" "</f>
        <v xml:space="preserve"> </v>
      </c>
    </row>
    <row r="17" spans="1:58" x14ac:dyDescent="0.25">
      <c r="A17">
        <v>11</v>
      </c>
      <c r="B17" t="s">
        <v>105</v>
      </c>
      <c r="C17" t="s">
        <v>39</v>
      </c>
      <c r="D17">
        <f>VLOOKUP(C17,Lookups!$E$2:$F$47,2,FALSE)</f>
        <v>0.9</v>
      </c>
      <c r="E17" s="30"/>
      <c r="F17" s="29" t="str">
        <f t="shared" si="0"/>
        <v/>
      </c>
      <c r="G17" t="str">
        <f>IF(F17="","",_xlfn.RANK.EQ(F17,$F$7:$F$34,1)+COUNTIF($F$7:F17,F17)-1)</f>
        <v/>
      </c>
      <c r="H17" s="19" t="str">
        <f t="shared" si="1"/>
        <v/>
      </c>
      <c r="I17" s="18" t="str">
        <f t="shared" si="23"/>
        <v/>
      </c>
      <c r="J17" s="17" t="str">
        <f t="shared" si="24"/>
        <v/>
      </c>
      <c r="K17" s="16" t="str">
        <f t="shared" si="3"/>
        <v>~</v>
      </c>
      <c r="M17">
        <v>11</v>
      </c>
      <c r="N17" t="s">
        <v>105</v>
      </c>
      <c r="O17" t="s">
        <v>39</v>
      </c>
      <c r="P17">
        <f>VLOOKUP(O17,Lookups!$E$2:$F$47,2,FALSE)</f>
        <v>0.9</v>
      </c>
      <c r="Q17" s="30"/>
      <c r="R17" s="29" t="str">
        <f t="shared" si="4"/>
        <v/>
      </c>
      <c r="S17" t="str">
        <f>IF(R17="","",_xlfn.RANK.EQ(R17,$R$7:$R$34,1)+COUNTIF($R$7:R17,R17)-1)</f>
        <v/>
      </c>
      <c r="T17" s="19" t="str">
        <f t="shared" si="8"/>
        <v/>
      </c>
      <c r="U17" s="18" t="str">
        <f t="shared" si="25"/>
        <v/>
      </c>
      <c r="V17" s="17" t="str">
        <f t="shared" si="9"/>
        <v/>
      </c>
      <c r="W17" s="16" t="str">
        <f t="shared" si="10"/>
        <v>~</v>
      </c>
      <c r="X17" s="129"/>
      <c r="Y17" t="s">
        <v>105</v>
      </c>
      <c r="Z17" t="s">
        <v>39</v>
      </c>
      <c r="AA17">
        <f>VLOOKUP(Z17,Lookups!$E$2:$F$47,2,FALSE)</f>
        <v>0.9</v>
      </c>
      <c r="AB17" s="30"/>
      <c r="AC17" s="29" t="str">
        <f t="shared" si="5"/>
        <v/>
      </c>
      <c r="AD17" t="str">
        <f>IF(AC17="","",_xlfn.RANK.EQ(AC17,$AC$8:$AC$35,1)+COUNTIF($AC$7:AC17,AC17)-1)</f>
        <v/>
      </c>
      <c r="AE17" s="19" t="str">
        <f t="shared" si="11"/>
        <v/>
      </c>
      <c r="AF17" s="18" t="str">
        <f t="shared" si="26"/>
        <v/>
      </c>
      <c r="AG17" s="17" t="str">
        <f t="shared" si="12"/>
        <v/>
      </c>
      <c r="AH17" s="16" t="str">
        <f t="shared" si="13"/>
        <v>~</v>
      </c>
      <c r="AI17">
        <v>11</v>
      </c>
      <c r="AJ17" t="s">
        <v>105</v>
      </c>
      <c r="AK17" t="s">
        <v>39</v>
      </c>
      <c r="AL17">
        <f>VLOOKUP(AK17,Lookups!$E$2:$F$47,2,FALSE)</f>
        <v>0.9</v>
      </c>
      <c r="AM17" s="30"/>
      <c r="AN17" s="29" t="str">
        <f t="shared" si="6"/>
        <v/>
      </c>
      <c r="AO17" t="str">
        <f>IF(AN17="","",_xlfn.RANK.EQ(AN17,$AN$7:$AN$34,1)+COUNTIF($AN$7:AN17,AN17)-1)</f>
        <v/>
      </c>
      <c r="AP17" s="19" t="str">
        <f t="shared" si="14"/>
        <v/>
      </c>
      <c r="AQ17" s="18" t="str">
        <f t="shared" si="15"/>
        <v/>
      </c>
      <c r="AR17" s="17" t="str">
        <f t="shared" si="16"/>
        <v/>
      </c>
      <c r="AS17" s="16" t="str">
        <f t="shared" si="17"/>
        <v>~</v>
      </c>
      <c r="AU17">
        <v>11</v>
      </c>
      <c r="AV17" t="s">
        <v>105</v>
      </c>
      <c r="AW17" t="s">
        <v>39</v>
      </c>
      <c r="AX17">
        <f>VLOOKUP(AW17,Lookups!$E$2:$F$47,2,FALSE)</f>
        <v>0.9</v>
      </c>
      <c r="AY17" s="30"/>
      <c r="AZ17" s="29" t="str">
        <f t="shared" si="7"/>
        <v/>
      </c>
      <c r="BA17" t="str">
        <f>IF(AZ17="","",_xlfn.RANK.EQ(AZ17,$AZ$7:$AZ$34,1)+COUNTIF($AZ$7:AZ17,AZ17)-1)</f>
        <v/>
      </c>
      <c r="BB17" s="19" t="str">
        <f t="shared" si="18"/>
        <v/>
      </c>
      <c r="BC17" s="18" t="str">
        <f t="shared" si="19"/>
        <v/>
      </c>
      <c r="BD17" s="17" t="str">
        <f t="shared" si="20"/>
        <v/>
      </c>
      <c r="BE17" s="16" t="str">
        <f t="shared" si="21"/>
        <v>~</v>
      </c>
      <c r="BF17" s="31" t="str">
        <f>" "</f>
        <v xml:space="preserve"> </v>
      </c>
    </row>
    <row r="18" spans="1:58" x14ac:dyDescent="0.25">
      <c r="A18">
        <v>12</v>
      </c>
      <c r="B18" t="s">
        <v>32</v>
      </c>
      <c r="C18" t="s">
        <v>27</v>
      </c>
      <c r="D18">
        <f>VLOOKUP(C18,Lookups!$E$2:$F$47,2,FALSE)</f>
        <v>0.86</v>
      </c>
      <c r="E18" s="30"/>
      <c r="F18" s="29" t="str">
        <f t="shared" si="0"/>
        <v/>
      </c>
      <c r="G18" t="str">
        <f>IF(F18="","",_xlfn.RANK.EQ(F18,$F$7:$F$34,1)+COUNTIF($F$7:F18,F18)-1)</f>
        <v/>
      </c>
      <c r="H18" s="19" t="str">
        <f t="shared" si="1"/>
        <v/>
      </c>
      <c r="I18" s="18" t="str">
        <f t="shared" si="23"/>
        <v/>
      </c>
      <c r="J18" s="17" t="str">
        <f t="shared" si="24"/>
        <v/>
      </c>
      <c r="K18" s="16" t="str">
        <f t="shared" si="3"/>
        <v>~</v>
      </c>
      <c r="M18">
        <v>12</v>
      </c>
      <c r="N18" t="s">
        <v>32</v>
      </c>
      <c r="O18" t="s">
        <v>27</v>
      </c>
      <c r="P18">
        <f>VLOOKUP(O18,Lookups!$E$2:$F$47,2,FALSE)</f>
        <v>0.86</v>
      </c>
      <c r="Q18" s="30">
        <v>8.0763888888888885E-2</v>
      </c>
      <c r="R18" s="29">
        <f t="shared" si="4"/>
        <v>6.9456944444444446E-2</v>
      </c>
      <c r="S18">
        <f>IF(R18="","",_xlfn.RANK.EQ(R18,$R$7:$R$34,1)+COUNTIF($R$7:R18,R18)-1)</f>
        <v>3</v>
      </c>
      <c r="T18" s="19">
        <f t="shared" si="8"/>
        <v>767.09381159748796</v>
      </c>
      <c r="U18" s="18">
        <f t="shared" si="25"/>
        <v>720.9202343578155</v>
      </c>
      <c r="V18" s="17">
        <f t="shared" si="9"/>
        <v>931.88368444643652</v>
      </c>
      <c r="W18" s="16">
        <f t="shared" si="10"/>
        <v>960</v>
      </c>
      <c r="X18" s="129"/>
      <c r="Y18" t="s">
        <v>32</v>
      </c>
      <c r="Z18" t="s">
        <v>27</v>
      </c>
      <c r="AA18">
        <f>VLOOKUP(Z18,Lookups!$E$2:$F$47,2,FALSE)</f>
        <v>0.86</v>
      </c>
      <c r="AB18" s="30"/>
      <c r="AC18" s="29" t="str">
        <f t="shared" si="5"/>
        <v/>
      </c>
      <c r="AD18" t="str">
        <f>IF(AC18="","",_xlfn.RANK.EQ(AC18,$AC$8:$AC$35,1)+COUNTIF($AC$7:AC18,AC18)-1)</f>
        <v/>
      </c>
      <c r="AE18" s="19" t="str">
        <f t="shared" si="11"/>
        <v/>
      </c>
      <c r="AF18" s="18" t="str">
        <f t="shared" si="26"/>
        <v/>
      </c>
      <c r="AG18" s="17" t="str">
        <f t="shared" si="12"/>
        <v/>
      </c>
      <c r="AH18" s="16" t="str">
        <f t="shared" si="13"/>
        <v>~</v>
      </c>
      <c r="AI18">
        <v>12</v>
      </c>
      <c r="AJ18" t="s">
        <v>32</v>
      </c>
      <c r="AK18" t="s">
        <v>27</v>
      </c>
      <c r="AL18">
        <f>VLOOKUP(AK18,Lookups!$E$2:$F$47,2,FALSE)</f>
        <v>0.86</v>
      </c>
      <c r="AM18" s="30"/>
      <c r="AN18" s="29" t="str">
        <f t="shared" si="6"/>
        <v/>
      </c>
      <c r="AO18" t="str">
        <f>IF(AN18="","",_xlfn.RANK.EQ(AN18,$AN$7:$AN$34,1)+COUNTIF($AN$7:AN18,AN18)-1)</f>
        <v/>
      </c>
      <c r="AP18" s="19" t="str">
        <f t="shared" si="14"/>
        <v/>
      </c>
      <c r="AQ18" s="18" t="str">
        <f t="shared" si="15"/>
        <v/>
      </c>
      <c r="AR18" s="17" t="str">
        <f t="shared" si="16"/>
        <v/>
      </c>
      <c r="AS18" s="16" t="str">
        <f t="shared" si="17"/>
        <v>~</v>
      </c>
      <c r="AU18">
        <v>12</v>
      </c>
      <c r="AV18" t="s">
        <v>32</v>
      </c>
      <c r="AW18" t="s">
        <v>27</v>
      </c>
      <c r="AX18">
        <f>VLOOKUP(AW18,Lookups!$E$2:$F$47,2,FALSE)</f>
        <v>0.86</v>
      </c>
      <c r="AY18" s="30"/>
      <c r="AZ18" s="29" t="str">
        <f t="shared" si="7"/>
        <v/>
      </c>
      <c r="BA18" t="str">
        <f>IF(AZ18="","",_xlfn.RANK.EQ(AZ18,$AZ$7:$AZ$34,1)+COUNTIF($AZ$7:AZ18,AZ18)-1)</f>
        <v/>
      </c>
      <c r="BB18" s="19" t="str">
        <f t="shared" si="18"/>
        <v/>
      </c>
      <c r="BC18" s="18" t="str">
        <f t="shared" si="19"/>
        <v/>
      </c>
      <c r="BD18" s="17" t="str">
        <f t="shared" si="20"/>
        <v/>
      </c>
      <c r="BE18" s="16" t="str">
        <f t="shared" si="21"/>
        <v>~</v>
      </c>
      <c r="BF18" s="31">
        <f t="shared" si="22"/>
        <v>720.9202343578155</v>
      </c>
    </row>
    <row r="19" spans="1:58" x14ac:dyDescent="0.25">
      <c r="A19">
        <v>13</v>
      </c>
      <c r="B19" t="s">
        <v>57</v>
      </c>
      <c r="C19" t="s">
        <v>49</v>
      </c>
      <c r="D19">
        <f>VLOOKUP(C19,Lookups!$E$2:$F$47,2,FALSE)</f>
        <v>0.7</v>
      </c>
      <c r="E19" s="30"/>
      <c r="F19" s="29" t="str">
        <f t="shared" si="0"/>
        <v/>
      </c>
      <c r="G19" t="str">
        <f>IF(F19="","",_xlfn.RANK.EQ(F19,$F$7:$F$34,1)+COUNTIF($F$7:F19,F19)-1)</f>
        <v/>
      </c>
      <c r="H19" s="19" t="str">
        <f t="shared" si="1"/>
        <v/>
      </c>
      <c r="I19" s="18" t="str">
        <f t="shared" si="23"/>
        <v/>
      </c>
      <c r="J19" s="17" t="str">
        <f t="shared" si="24"/>
        <v/>
      </c>
      <c r="K19" s="16" t="str">
        <f t="shared" si="3"/>
        <v>~</v>
      </c>
      <c r="M19">
        <v>13</v>
      </c>
      <c r="N19" t="s">
        <v>57</v>
      </c>
      <c r="O19" t="s">
        <v>49</v>
      </c>
      <c r="P19">
        <f>VLOOKUP(O19,Lookups!$E$2:$F$47,2,FALSE)</f>
        <v>0.7</v>
      </c>
      <c r="Q19" s="30"/>
      <c r="R19" s="29" t="str">
        <f t="shared" si="4"/>
        <v/>
      </c>
      <c r="S19" t="str">
        <f>IF(R19="","",_xlfn.RANK.EQ(R19,$R$7:$R$34,1)+COUNTIF($R$7:R19,R19)-1)</f>
        <v/>
      </c>
      <c r="T19" s="19" t="str">
        <f t="shared" si="8"/>
        <v/>
      </c>
      <c r="U19" s="18" t="str">
        <f t="shared" si="25"/>
        <v/>
      </c>
      <c r="V19" s="17" t="str">
        <f t="shared" si="9"/>
        <v/>
      </c>
      <c r="W19" s="16" t="str">
        <f t="shared" si="10"/>
        <v>~</v>
      </c>
      <c r="X19" s="129"/>
      <c r="Y19" t="s">
        <v>57</v>
      </c>
      <c r="Z19" t="s">
        <v>49</v>
      </c>
      <c r="AA19">
        <f>VLOOKUP(Z19,Lookups!$E$2:$F$47,2,FALSE)</f>
        <v>0.7</v>
      </c>
      <c r="AB19" s="30"/>
      <c r="AC19" s="29" t="str">
        <f t="shared" si="5"/>
        <v/>
      </c>
      <c r="AD19" t="str">
        <f>IF(AC19="","",_xlfn.RANK.EQ(AC19,$AC$8:$AC$35,1)+COUNTIF($AC$7:AC19,AC19)-1)</f>
        <v/>
      </c>
      <c r="AE19" s="19" t="str">
        <f t="shared" si="11"/>
        <v/>
      </c>
      <c r="AF19" s="18" t="str">
        <f t="shared" si="26"/>
        <v/>
      </c>
      <c r="AG19" s="17" t="str">
        <f t="shared" si="12"/>
        <v/>
      </c>
      <c r="AH19" s="16" t="str">
        <f t="shared" si="13"/>
        <v>~</v>
      </c>
      <c r="AI19">
        <v>13</v>
      </c>
      <c r="AJ19" t="s">
        <v>57</v>
      </c>
      <c r="AK19" t="s">
        <v>49</v>
      </c>
      <c r="AL19">
        <f>VLOOKUP(AK19,Lookups!$E$2:$F$47,2,FALSE)</f>
        <v>0.7</v>
      </c>
      <c r="AM19" s="30"/>
      <c r="AN19" s="29" t="str">
        <f t="shared" si="6"/>
        <v/>
      </c>
      <c r="AO19" t="str">
        <f>IF(AN19="","",_xlfn.RANK.EQ(AN19,$AN$7:$AN$34,1)+COUNTIF($AN$7:AN19,AN19)-1)</f>
        <v/>
      </c>
      <c r="AP19" s="19" t="str">
        <f t="shared" si="14"/>
        <v/>
      </c>
      <c r="AQ19" s="18" t="str">
        <f t="shared" si="15"/>
        <v/>
      </c>
      <c r="AR19" s="17" t="str">
        <f t="shared" si="16"/>
        <v/>
      </c>
      <c r="AS19" s="16" t="str">
        <f t="shared" si="17"/>
        <v>~</v>
      </c>
      <c r="AU19">
        <v>13</v>
      </c>
      <c r="AV19" t="s">
        <v>57</v>
      </c>
      <c r="AW19" t="s">
        <v>49</v>
      </c>
      <c r="AX19">
        <f>VLOOKUP(AW19,Lookups!$E$2:$F$47,2,FALSE)</f>
        <v>0.7</v>
      </c>
      <c r="AY19" s="30"/>
      <c r="AZ19" s="29" t="str">
        <f t="shared" si="7"/>
        <v/>
      </c>
      <c r="BA19" t="str">
        <f>IF(AZ19="","",_xlfn.RANK.EQ(AZ19,$AZ$7:$AZ$34,1)+COUNTIF($AZ$7:AZ19,AZ19)-1)</f>
        <v/>
      </c>
      <c r="BB19" s="19" t="str">
        <f t="shared" si="18"/>
        <v/>
      </c>
      <c r="BC19" s="18" t="str">
        <f t="shared" si="19"/>
        <v/>
      </c>
      <c r="BD19" s="17" t="str">
        <f t="shared" si="20"/>
        <v/>
      </c>
      <c r="BE19" s="16" t="str">
        <f t="shared" si="21"/>
        <v>~</v>
      </c>
      <c r="BF19" s="31" t="str">
        <f>" "</f>
        <v xml:space="preserve"> </v>
      </c>
    </row>
    <row r="20" spans="1:58" x14ac:dyDescent="0.25">
      <c r="B20" t="s">
        <v>102</v>
      </c>
      <c r="C20" t="s">
        <v>103</v>
      </c>
      <c r="E20" s="30"/>
      <c r="F20" s="29"/>
      <c r="H20" s="19"/>
      <c r="I20" s="18"/>
      <c r="J20" s="17"/>
      <c r="K20" s="16"/>
      <c r="Q20" s="30"/>
      <c r="R20" s="29" t="str">
        <f t="shared" ref="R20:R24" si="27">IF(Q20="","",Q20*P20)</f>
        <v/>
      </c>
      <c r="S20" t="str">
        <f>IF(R20="","",_xlfn.RANK.EQ(R20,$R$7:$R$34,1)+COUNTIF($R$7:R20,R20)-1)</f>
        <v/>
      </c>
      <c r="T20" s="19" t="str">
        <f t="shared" ref="T20:T24" si="28">IFERROR((1000+200*(AVERAGE($R$7:$R$34)-R20)/_xlfn.STDEV.P($R$7:$R$34)),"")</f>
        <v/>
      </c>
      <c r="U20" s="18" t="str">
        <f t="shared" ref="U20:U24" si="29">IFERROR(((1000*SMALL($F$7:$F$34,1)/R20)),"")</f>
        <v/>
      </c>
      <c r="V20" s="17" t="str">
        <f t="shared" ref="V20:V24" si="30">IF(R20="","",IF(R20&gt;=2*SMALL($R$7:$R$34,1),0,1000-((R20-SMALL($R$7:$R$34,1))/SMALL($R$7:$R$34,1)*100)))</f>
        <v/>
      </c>
      <c r="W20" s="16" t="str">
        <f t="shared" ref="W20:W24" si="31">IFERROR((1000-MINUTE(R20-SMALL($R$7:$R$34,1))),"~")</f>
        <v>~</v>
      </c>
      <c r="X20" s="129"/>
      <c r="Y20"/>
      <c r="Z20"/>
      <c r="AA20"/>
      <c r="AB20" s="30"/>
      <c r="AC20" s="29" t="str">
        <f t="shared" si="5"/>
        <v/>
      </c>
      <c r="AD20" t="str">
        <f>IF(AC20="","",_xlfn.RANK.EQ(AC20,$AC$8:$AC$35,1)+COUNTIF($AC$7:AC20,AC20)-1)</f>
        <v/>
      </c>
      <c r="AE20" s="19" t="str">
        <f t="shared" si="11"/>
        <v/>
      </c>
      <c r="AF20" s="18" t="str">
        <f t="shared" si="26"/>
        <v/>
      </c>
      <c r="AG20" s="17" t="str">
        <f t="shared" si="12"/>
        <v/>
      </c>
      <c r="AH20" s="16" t="str">
        <f t="shared" si="13"/>
        <v>~</v>
      </c>
      <c r="AM20" s="30"/>
      <c r="AN20" s="29"/>
      <c r="AP20" s="19"/>
      <c r="AQ20" s="18"/>
      <c r="AR20" s="17"/>
      <c r="AS20" s="16"/>
      <c r="AV20" t="s">
        <v>102</v>
      </c>
      <c r="AW20" t="s">
        <v>103</v>
      </c>
      <c r="AY20" s="30"/>
      <c r="AZ20" s="29"/>
      <c r="BB20" s="19"/>
      <c r="BC20" s="18"/>
      <c r="BD20" s="17"/>
      <c r="BE20" s="16"/>
      <c r="BF20" s="31" t="str">
        <f>" "</f>
        <v xml:space="preserve"> </v>
      </c>
    </row>
    <row r="21" spans="1:58" x14ac:dyDescent="0.25">
      <c r="A21">
        <v>14</v>
      </c>
      <c r="B21" t="s">
        <v>35</v>
      </c>
      <c r="C21" t="s">
        <v>31</v>
      </c>
      <c r="D21">
        <f>VLOOKUP(C21,Lookups!$E$2:$F$47,2,FALSE)</f>
        <v>0.82</v>
      </c>
      <c r="E21" s="30"/>
      <c r="F21" s="29" t="str">
        <f t="shared" si="0"/>
        <v/>
      </c>
      <c r="G21" t="str">
        <f>IF(F21="","",_xlfn.RANK.EQ(F21,$F$7:$F$34,1)+COUNTIF($F$7:F21,F21)-1)</f>
        <v/>
      </c>
      <c r="H21" s="19" t="str">
        <f t="shared" si="1"/>
        <v/>
      </c>
      <c r="I21" s="18" t="str">
        <f t="shared" si="23"/>
        <v/>
      </c>
      <c r="J21" s="17" t="str">
        <f t="shared" si="24"/>
        <v/>
      </c>
      <c r="K21" s="16" t="str">
        <f t="shared" si="3"/>
        <v>~</v>
      </c>
      <c r="M21">
        <v>14</v>
      </c>
      <c r="N21" t="s">
        <v>35</v>
      </c>
      <c r="O21" t="s">
        <v>31</v>
      </c>
      <c r="P21">
        <f>VLOOKUP(O21,Lookups!$E$2:$F$47,2,FALSE)</f>
        <v>0.82</v>
      </c>
      <c r="Q21" s="30"/>
      <c r="R21" s="29" t="str">
        <f t="shared" si="27"/>
        <v/>
      </c>
      <c r="S21" t="str">
        <f>IF(R21="","",_xlfn.RANK.EQ(R21,$R$7:$R$34,1)+COUNTIF($R$7:R21,R21)-1)</f>
        <v/>
      </c>
      <c r="T21" s="19" t="str">
        <f t="shared" si="28"/>
        <v/>
      </c>
      <c r="U21" s="18" t="str">
        <f t="shared" si="29"/>
        <v/>
      </c>
      <c r="V21" s="17" t="str">
        <f t="shared" si="30"/>
        <v/>
      </c>
      <c r="W21" s="16" t="str">
        <f t="shared" si="31"/>
        <v>~</v>
      </c>
      <c r="X21" s="129"/>
      <c r="Y21" t="s">
        <v>35</v>
      </c>
      <c r="Z21" t="s">
        <v>31</v>
      </c>
      <c r="AA21">
        <f>VLOOKUP(Z21,Lookups!$E$2:$F$47,2,FALSE)</f>
        <v>0.82</v>
      </c>
      <c r="AB21" s="30"/>
      <c r="AC21" s="29" t="str">
        <f t="shared" si="5"/>
        <v/>
      </c>
      <c r="AD21" t="str">
        <f>IF(AC21="","",_xlfn.RANK.EQ(AC21,$AC$8:$AC$35,1)+COUNTIF($AC$7:AC21,AC21)-1)</f>
        <v/>
      </c>
      <c r="AE21" s="19" t="str">
        <f t="shared" si="11"/>
        <v/>
      </c>
      <c r="AF21" s="18" t="str">
        <f t="shared" si="26"/>
        <v/>
      </c>
      <c r="AG21" s="17" t="str">
        <f t="shared" si="12"/>
        <v/>
      </c>
      <c r="AH21" s="16" t="str">
        <f t="shared" si="13"/>
        <v>~</v>
      </c>
      <c r="AI21">
        <v>14</v>
      </c>
      <c r="AJ21" t="s">
        <v>35</v>
      </c>
      <c r="AK21" t="s">
        <v>31</v>
      </c>
      <c r="AL21">
        <f>VLOOKUP(AK21,Lookups!$E$2:$F$47,2,FALSE)</f>
        <v>0.82</v>
      </c>
      <c r="AM21" s="30"/>
      <c r="AN21" s="29" t="str">
        <f t="shared" si="6"/>
        <v/>
      </c>
      <c r="AO21" t="str">
        <f>IF(AN21="","",_xlfn.RANK.EQ(AN21,$AN$7:$AN$34,1)+COUNTIF($AN$7:AN21,AN21)-1)</f>
        <v/>
      </c>
      <c r="AP21" s="19" t="str">
        <f t="shared" si="14"/>
        <v/>
      </c>
      <c r="AQ21" s="18" t="str">
        <f t="shared" si="15"/>
        <v/>
      </c>
      <c r="AR21" s="17" t="str">
        <f t="shared" si="16"/>
        <v/>
      </c>
      <c r="AS21" s="16" t="str">
        <f t="shared" si="17"/>
        <v>~</v>
      </c>
      <c r="AU21">
        <v>14</v>
      </c>
      <c r="AV21" t="s">
        <v>35</v>
      </c>
      <c r="AW21" t="s">
        <v>31</v>
      </c>
      <c r="AX21">
        <f>VLOOKUP(AW21,Lookups!$E$2:$F$47,2,FALSE)</f>
        <v>0.82</v>
      </c>
      <c r="AY21" s="30"/>
      <c r="AZ21" s="29" t="str">
        <f t="shared" si="7"/>
        <v/>
      </c>
      <c r="BA21" t="str">
        <f>IF(AZ21="","",_xlfn.RANK.EQ(AZ21,$AZ$7:$AZ$34,1)+COUNTIF($AZ$7:AZ21,AZ21)-1)</f>
        <v/>
      </c>
      <c r="BB21" s="19" t="str">
        <f t="shared" si="18"/>
        <v/>
      </c>
      <c r="BC21" s="18" t="str">
        <f t="shared" si="19"/>
        <v/>
      </c>
      <c r="BD21" s="17" t="str">
        <f t="shared" si="20"/>
        <v/>
      </c>
      <c r="BE21" s="16" t="str">
        <f t="shared" si="21"/>
        <v>~</v>
      </c>
      <c r="BF21" s="31" t="str">
        <f>" "</f>
        <v xml:space="preserve"> </v>
      </c>
    </row>
    <row r="22" spans="1:58" x14ac:dyDescent="0.25">
      <c r="A22">
        <v>15</v>
      </c>
      <c r="B22" t="s">
        <v>37</v>
      </c>
      <c r="C22" t="s">
        <v>27</v>
      </c>
      <c r="D22">
        <f>VLOOKUP(C22,Lookups!$E$2:$F$47,2,FALSE)</f>
        <v>0.86</v>
      </c>
      <c r="E22" s="30"/>
      <c r="F22" s="29" t="str">
        <f t="shared" si="0"/>
        <v/>
      </c>
      <c r="G22" t="str">
        <f>IF(F22="","",_xlfn.RANK.EQ(F22,$F$7:$F$34,1)+COUNTIF($F$7:F22,F22)-1)</f>
        <v/>
      </c>
      <c r="H22" s="19" t="str">
        <f t="shared" si="1"/>
        <v/>
      </c>
      <c r="I22" s="18" t="str">
        <f t="shared" si="23"/>
        <v/>
      </c>
      <c r="J22" s="17" t="str">
        <f t="shared" si="24"/>
        <v/>
      </c>
      <c r="K22" s="16" t="str">
        <f t="shared" si="3"/>
        <v>~</v>
      </c>
      <c r="M22">
        <v>15</v>
      </c>
      <c r="N22" t="s">
        <v>37</v>
      </c>
      <c r="O22" t="s">
        <v>27</v>
      </c>
      <c r="P22">
        <f>VLOOKUP(O22,Lookups!$E$2:$F$47,2,FALSE)</f>
        <v>0.86</v>
      </c>
      <c r="Q22" s="30"/>
      <c r="R22" s="29" t="str">
        <f t="shared" si="27"/>
        <v/>
      </c>
      <c r="S22" t="str">
        <f>IF(R22="","",_xlfn.RANK.EQ(R22,$R$7:$R$34,1)+COUNTIF($R$7:R22,R22)-1)</f>
        <v/>
      </c>
      <c r="T22" s="19" t="str">
        <f t="shared" si="28"/>
        <v/>
      </c>
      <c r="U22" s="18" t="str">
        <f t="shared" si="29"/>
        <v/>
      </c>
      <c r="V22" s="17" t="str">
        <f t="shared" si="30"/>
        <v/>
      </c>
      <c r="W22" s="16" t="str">
        <f t="shared" si="31"/>
        <v>~</v>
      </c>
      <c r="X22" s="129"/>
      <c r="Y22" t="s">
        <v>37</v>
      </c>
      <c r="Z22" t="s">
        <v>27</v>
      </c>
      <c r="AA22">
        <f>VLOOKUP(Z22,Lookups!$E$2:$F$47,2,FALSE)</f>
        <v>0.86</v>
      </c>
      <c r="AB22" s="30"/>
      <c r="AC22" s="29" t="str">
        <f t="shared" si="5"/>
        <v/>
      </c>
      <c r="AD22" t="str">
        <f>IF(AC22="","",_xlfn.RANK.EQ(AC22,$AC$8:$AC$35,1)+COUNTIF($AC$7:AC22,AC22)-1)</f>
        <v/>
      </c>
      <c r="AE22" s="19" t="str">
        <f t="shared" si="11"/>
        <v/>
      </c>
      <c r="AF22" s="18" t="str">
        <f t="shared" si="26"/>
        <v/>
      </c>
      <c r="AG22" s="17" t="str">
        <f t="shared" si="12"/>
        <v/>
      </c>
      <c r="AH22" s="16" t="str">
        <f t="shared" si="13"/>
        <v>~</v>
      </c>
      <c r="AI22">
        <v>15</v>
      </c>
      <c r="AJ22" t="s">
        <v>37</v>
      </c>
      <c r="AK22" t="s">
        <v>27</v>
      </c>
      <c r="AL22">
        <f>VLOOKUP(AK22,Lookups!$E$2:$F$47,2,FALSE)</f>
        <v>0.86</v>
      </c>
      <c r="AM22" s="30"/>
      <c r="AN22" s="29" t="str">
        <f t="shared" si="6"/>
        <v/>
      </c>
      <c r="AO22" t="str">
        <f>IF(AN22="","",_xlfn.RANK.EQ(AN22,$AN$7:$AN$34,1)+COUNTIF($AN$7:AN22,AN22)-1)</f>
        <v/>
      </c>
      <c r="AP22" s="19" t="str">
        <f t="shared" si="14"/>
        <v/>
      </c>
      <c r="AQ22" s="18" t="str">
        <f t="shared" si="15"/>
        <v/>
      </c>
      <c r="AR22" s="17" t="str">
        <f t="shared" si="16"/>
        <v/>
      </c>
      <c r="AS22" s="16" t="str">
        <f t="shared" si="17"/>
        <v>~</v>
      </c>
      <c r="AU22">
        <v>15</v>
      </c>
      <c r="AV22" t="s">
        <v>37</v>
      </c>
      <c r="AW22" t="s">
        <v>27</v>
      </c>
      <c r="AX22">
        <f>VLOOKUP(AW22,Lookups!$E$2:$F$47,2,FALSE)</f>
        <v>0.86</v>
      </c>
      <c r="AY22" s="30"/>
      <c r="AZ22" s="29" t="str">
        <f t="shared" si="7"/>
        <v/>
      </c>
      <c r="BA22" t="str">
        <f>IF(AZ22="","",_xlfn.RANK.EQ(AZ22,$AZ$7:$AZ$34,1)+COUNTIF($AZ$7:AZ22,AZ22)-1)</f>
        <v/>
      </c>
      <c r="BB22" s="19" t="str">
        <f t="shared" si="18"/>
        <v/>
      </c>
      <c r="BC22" s="18" t="str">
        <f t="shared" si="19"/>
        <v/>
      </c>
      <c r="BD22" s="17" t="str">
        <f t="shared" si="20"/>
        <v/>
      </c>
      <c r="BE22" s="16" t="str">
        <f t="shared" si="21"/>
        <v>~</v>
      </c>
      <c r="BF22" s="31" t="str">
        <f>" "</f>
        <v xml:space="preserve"> </v>
      </c>
    </row>
    <row r="23" spans="1:58" x14ac:dyDescent="0.25">
      <c r="A23">
        <v>16</v>
      </c>
      <c r="B23" t="s">
        <v>106</v>
      </c>
      <c r="C23" t="s">
        <v>39</v>
      </c>
      <c r="D23">
        <f>VLOOKUP(C23,Lookups!$E$2:$F$47,2,FALSE)</f>
        <v>0.9</v>
      </c>
      <c r="E23" s="30">
        <v>8.0243055555555554E-2</v>
      </c>
      <c r="F23" s="29">
        <f t="shared" si="0"/>
        <v>7.2218749999999998E-2</v>
      </c>
      <c r="G23">
        <f>IF(F23="","",_xlfn.RANK.EQ(F23,$F$7:$F$34,1)+COUNTIF($F$7:F23,F23)-1)</f>
        <v>2</v>
      </c>
      <c r="H23" s="19">
        <f t="shared" si="1"/>
        <v>918.17334992845531</v>
      </c>
      <c r="I23" s="18">
        <f t="shared" si="23"/>
        <v>693.35064185778162</v>
      </c>
      <c r="J23" s="17">
        <f t="shared" si="24"/>
        <v>955.77283128770546</v>
      </c>
      <c r="K23" s="16">
        <f t="shared" si="3"/>
        <v>969</v>
      </c>
      <c r="M23">
        <v>16</v>
      </c>
      <c r="N23" t="s">
        <v>106</v>
      </c>
      <c r="O23" t="s">
        <v>39</v>
      </c>
      <c r="P23">
        <f>VLOOKUP(O23,Lookups!$E$2:$F$47,2,FALSE)</f>
        <v>0.9</v>
      </c>
      <c r="Q23" s="30"/>
      <c r="R23" s="29" t="str">
        <f t="shared" si="27"/>
        <v/>
      </c>
      <c r="S23" t="str">
        <f>IF(R23="","",_xlfn.RANK.EQ(R23,$R$7:$R$34,1)+COUNTIF($R$7:R23,R23)-1)</f>
        <v/>
      </c>
      <c r="T23" s="19" t="str">
        <f t="shared" si="28"/>
        <v/>
      </c>
      <c r="U23" s="18" t="str">
        <f t="shared" si="29"/>
        <v/>
      </c>
      <c r="V23" s="17" t="str">
        <f t="shared" si="30"/>
        <v/>
      </c>
      <c r="W23" s="16" t="str">
        <f t="shared" si="31"/>
        <v>~</v>
      </c>
      <c r="X23" s="129"/>
      <c r="Y23" t="s">
        <v>106</v>
      </c>
      <c r="Z23" t="s">
        <v>39</v>
      </c>
      <c r="AA23">
        <f>VLOOKUP(Z23,Lookups!$E$2:$F$47,2,FALSE)</f>
        <v>0.9</v>
      </c>
      <c r="AB23" s="30"/>
      <c r="AC23" s="29" t="str">
        <f t="shared" si="5"/>
        <v/>
      </c>
      <c r="AD23" t="str">
        <f>IF(AC23="","",_xlfn.RANK.EQ(AC23,$AC$8:$AC$35,1)+COUNTIF($AC$7:AC23,AC23)-1)</f>
        <v/>
      </c>
      <c r="AE23" s="19" t="str">
        <f t="shared" si="11"/>
        <v/>
      </c>
      <c r="AF23" s="18" t="str">
        <f t="shared" si="26"/>
        <v/>
      </c>
      <c r="AG23" s="17" t="str">
        <f t="shared" si="12"/>
        <v/>
      </c>
      <c r="AH23" s="16" t="str">
        <f t="shared" si="13"/>
        <v>~</v>
      </c>
      <c r="AI23">
        <v>16</v>
      </c>
      <c r="AJ23" t="s">
        <v>106</v>
      </c>
      <c r="AK23" t="s">
        <v>39</v>
      </c>
      <c r="AL23">
        <f>VLOOKUP(AK23,Lookups!$E$2:$F$47,2,FALSE)</f>
        <v>0.9</v>
      </c>
      <c r="AM23" s="30"/>
      <c r="AN23" s="29" t="str">
        <f t="shared" si="6"/>
        <v/>
      </c>
      <c r="AO23" t="str">
        <f>IF(AN23="","",_xlfn.RANK.EQ(AN23,$AN$7:$AN$34,1)+COUNTIF($AN$7:AN23,AN23)-1)</f>
        <v/>
      </c>
      <c r="AP23" s="19" t="str">
        <f t="shared" si="14"/>
        <v/>
      </c>
      <c r="AQ23" s="18" t="str">
        <f t="shared" si="15"/>
        <v/>
      </c>
      <c r="AR23" s="17" t="str">
        <f t="shared" si="16"/>
        <v/>
      </c>
      <c r="AS23" s="16" t="str">
        <f t="shared" si="17"/>
        <v>~</v>
      </c>
      <c r="AU23">
        <v>16</v>
      </c>
      <c r="AV23" t="s">
        <v>106</v>
      </c>
      <c r="AW23" t="s">
        <v>39</v>
      </c>
      <c r="AX23">
        <f>VLOOKUP(AW23,Lookups!$E$2:$F$47,2,FALSE)</f>
        <v>0.9</v>
      </c>
      <c r="AY23" s="30"/>
      <c r="AZ23" s="29" t="str">
        <f t="shared" si="7"/>
        <v/>
      </c>
      <c r="BA23" t="str">
        <f>IF(AZ23="","",_xlfn.RANK.EQ(AZ23,$AZ$7:$AZ$34,1)+COUNTIF($AZ$7:AZ23,AZ23)-1)</f>
        <v/>
      </c>
      <c r="BB23" s="19" t="str">
        <f t="shared" si="18"/>
        <v/>
      </c>
      <c r="BC23" s="18" t="str">
        <f t="shared" si="19"/>
        <v/>
      </c>
      <c r="BD23" s="17" t="str">
        <f t="shared" si="20"/>
        <v/>
      </c>
      <c r="BE23" s="16" t="str">
        <f t="shared" si="21"/>
        <v>~</v>
      </c>
      <c r="BF23" s="31">
        <f t="shared" si="22"/>
        <v>693.35064185778162</v>
      </c>
    </row>
    <row r="24" spans="1:58" x14ac:dyDescent="0.25">
      <c r="A24">
        <v>17</v>
      </c>
      <c r="B24" t="s">
        <v>1</v>
      </c>
      <c r="C24" t="s">
        <v>36</v>
      </c>
      <c r="D24">
        <f>VLOOKUP(C24,Lookups!$E$2:$F$47,2,FALSE)</f>
        <v>0.56999999999999995</v>
      </c>
      <c r="E24" s="30"/>
      <c r="F24" s="29" t="str">
        <f t="shared" si="0"/>
        <v/>
      </c>
      <c r="G24" t="str">
        <f>IF(F24="","",_xlfn.RANK.EQ(F24,$F$7:$F$34,1)+COUNTIF($F$7:F24,F24)-1)</f>
        <v/>
      </c>
      <c r="H24" s="19" t="str">
        <f t="shared" si="1"/>
        <v/>
      </c>
      <c r="I24" s="18" t="str">
        <f t="shared" si="23"/>
        <v/>
      </c>
      <c r="J24" s="17" t="str">
        <f t="shared" si="24"/>
        <v/>
      </c>
      <c r="K24" s="16" t="str">
        <f t="shared" si="3"/>
        <v>~</v>
      </c>
      <c r="M24">
        <v>17</v>
      </c>
      <c r="N24" t="s">
        <v>1</v>
      </c>
      <c r="O24" t="s">
        <v>36</v>
      </c>
      <c r="P24">
        <f>VLOOKUP(O24,Lookups!$E$2:$F$47,2,FALSE)</f>
        <v>0.56999999999999995</v>
      </c>
      <c r="Q24" s="30"/>
      <c r="R24" s="29" t="str">
        <f t="shared" si="27"/>
        <v/>
      </c>
      <c r="S24" t="str">
        <f>IF(R24="","",_xlfn.RANK.EQ(R24,$R$7:$R$34,1)+COUNTIF($R$7:R24,R24)-1)</f>
        <v/>
      </c>
      <c r="T24" s="19" t="str">
        <f t="shared" si="28"/>
        <v/>
      </c>
      <c r="U24" s="18" t="str">
        <f t="shared" si="29"/>
        <v/>
      </c>
      <c r="V24" s="17" t="str">
        <f t="shared" si="30"/>
        <v/>
      </c>
      <c r="W24" s="16" t="str">
        <f t="shared" si="31"/>
        <v>~</v>
      </c>
      <c r="X24" s="129"/>
      <c r="Y24" t="s">
        <v>1</v>
      </c>
      <c r="Z24" t="s">
        <v>36</v>
      </c>
      <c r="AA24">
        <f>VLOOKUP(Z24,Lookups!$E$2:$F$47,2,FALSE)</f>
        <v>0.56999999999999995</v>
      </c>
      <c r="AB24" s="30"/>
      <c r="AC24" s="29" t="str">
        <f t="shared" si="5"/>
        <v/>
      </c>
      <c r="AD24" t="str">
        <f>IF(AC24="","",_xlfn.RANK.EQ(AC24,$AC$8:$AC$35,1)+COUNTIF($AC$7:AC24,AC24)-1)</f>
        <v/>
      </c>
      <c r="AE24" s="19" t="str">
        <f t="shared" si="11"/>
        <v/>
      </c>
      <c r="AF24" s="18" t="str">
        <f t="shared" si="26"/>
        <v/>
      </c>
      <c r="AG24" s="17" t="str">
        <f t="shared" si="12"/>
        <v/>
      </c>
      <c r="AH24" s="16" t="str">
        <f t="shared" si="13"/>
        <v>~</v>
      </c>
      <c r="AI24">
        <v>17</v>
      </c>
      <c r="AJ24" t="s">
        <v>1</v>
      </c>
      <c r="AK24" t="s">
        <v>36</v>
      </c>
      <c r="AL24">
        <f>VLOOKUP(AK24,Lookups!$E$2:$F$47,2,FALSE)</f>
        <v>0.56999999999999995</v>
      </c>
      <c r="AM24" s="30"/>
      <c r="AN24" s="29" t="str">
        <f t="shared" si="6"/>
        <v/>
      </c>
      <c r="AO24" t="str">
        <f>IF(AN24="","",_xlfn.RANK.EQ(AN24,$AN$7:$AN$34,1)+COUNTIF($AN$7:AN24,AN24)-1)</f>
        <v/>
      </c>
      <c r="AP24" s="19" t="str">
        <f t="shared" si="14"/>
        <v/>
      </c>
      <c r="AQ24" s="18" t="str">
        <f t="shared" si="15"/>
        <v/>
      </c>
      <c r="AR24" s="17" t="str">
        <f t="shared" si="16"/>
        <v/>
      </c>
      <c r="AS24" s="16" t="str">
        <f t="shared" si="17"/>
        <v>~</v>
      </c>
      <c r="AU24">
        <v>17</v>
      </c>
      <c r="AV24" t="s">
        <v>1</v>
      </c>
      <c r="AW24" t="s">
        <v>36</v>
      </c>
      <c r="AX24">
        <f>VLOOKUP(AW24,Lookups!$E$2:$F$47,2,FALSE)</f>
        <v>0.56999999999999995</v>
      </c>
      <c r="AY24" s="30">
        <v>3.8032407407407411E-2</v>
      </c>
      <c r="AZ24" s="29">
        <f t="shared" si="7"/>
        <v>2.1678472222222221E-2</v>
      </c>
      <c r="BA24">
        <f>IF(AZ24="","",_xlfn.RANK.EQ(AZ24,$AZ$7:$AZ$34,1)+COUNTIF($AZ$7:AZ24,AZ24)-1)</f>
        <v>3</v>
      </c>
      <c r="BB24" s="19">
        <f t="shared" si="18"/>
        <v>824.45481261211762</v>
      </c>
      <c r="BC24" s="18">
        <f t="shared" si="19"/>
        <v>905.00902286147505</v>
      </c>
      <c r="BD24" s="17">
        <f t="shared" si="20"/>
        <v>989.50386407881547</v>
      </c>
      <c r="BE24" s="16">
        <f t="shared" si="21"/>
        <v>998</v>
      </c>
      <c r="BF24" s="31">
        <f t="shared" si="22"/>
        <v>905.00902286147505</v>
      </c>
    </row>
    <row r="25" spans="1:58" x14ac:dyDescent="0.25">
      <c r="A25">
        <v>18</v>
      </c>
      <c r="B25" t="s">
        <v>40</v>
      </c>
      <c r="C25" t="s">
        <v>17</v>
      </c>
      <c r="D25">
        <f>VLOOKUP(C25,Lookups!$E$2:$F$47,2,FALSE)</f>
        <v>0.7</v>
      </c>
      <c r="E25" s="30"/>
      <c r="F25" s="29" t="str">
        <f t="shared" si="0"/>
        <v/>
      </c>
      <c r="G25" t="str">
        <f>IF(F25="","",_xlfn.RANK.EQ(F25,$F$7:$F$34,1)+COUNTIF($F$7:F25,F25)-1)</f>
        <v/>
      </c>
      <c r="H25" s="19" t="str">
        <f t="shared" si="1"/>
        <v/>
      </c>
      <c r="I25" s="18" t="str">
        <f t="shared" si="23"/>
        <v/>
      </c>
      <c r="J25" s="17" t="str">
        <f t="shared" si="24"/>
        <v/>
      </c>
      <c r="K25" s="16" t="str">
        <f t="shared" si="3"/>
        <v>~</v>
      </c>
      <c r="M25">
        <v>18</v>
      </c>
      <c r="N25" t="s">
        <v>40</v>
      </c>
      <c r="O25" t="s">
        <v>17</v>
      </c>
      <c r="P25">
        <f>VLOOKUP(O25,Lookups!$E$2:$F$47,2,FALSE)</f>
        <v>0.7</v>
      </c>
      <c r="Q25" s="30"/>
      <c r="R25" s="29" t="str">
        <f t="shared" si="4"/>
        <v/>
      </c>
      <c r="S25" t="str">
        <f>IF(R25="","",_xlfn.RANK.EQ(R25,$R$7:$R$34,1)+COUNTIF($R$7:R25,R25)-1)</f>
        <v/>
      </c>
      <c r="T25" s="19" t="str">
        <f t="shared" si="8"/>
        <v/>
      </c>
      <c r="U25" s="18" t="str">
        <f t="shared" si="25"/>
        <v/>
      </c>
      <c r="V25" s="17" t="str">
        <f t="shared" si="9"/>
        <v/>
      </c>
      <c r="W25" s="16" t="str">
        <f t="shared" si="10"/>
        <v>~</v>
      </c>
      <c r="X25" s="129"/>
      <c r="Y25" t="s">
        <v>40</v>
      </c>
      <c r="Z25" t="s">
        <v>17</v>
      </c>
      <c r="AA25">
        <f>VLOOKUP(Z25,Lookups!$E$2:$F$47,2,FALSE)</f>
        <v>0.7</v>
      </c>
      <c r="AB25" s="30"/>
      <c r="AC25" s="29" t="str">
        <f t="shared" si="5"/>
        <v/>
      </c>
      <c r="AD25" t="str">
        <f>IF(AC25="","",_xlfn.RANK.EQ(AC25,$AC$8:$AC$35,1)+COUNTIF($AC$7:AC25,AC25)-1)</f>
        <v/>
      </c>
      <c r="AE25" s="19" t="str">
        <f t="shared" si="11"/>
        <v/>
      </c>
      <c r="AF25" s="18" t="str">
        <f t="shared" si="26"/>
        <v/>
      </c>
      <c r="AG25" s="17" t="str">
        <f t="shared" si="12"/>
        <v/>
      </c>
      <c r="AH25" s="16" t="str">
        <f t="shared" si="13"/>
        <v>~</v>
      </c>
      <c r="AI25">
        <v>18</v>
      </c>
      <c r="AJ25" t="s">
        <v>40</v>
      </c>
      <c r="AK25" t="s">
        <v>17</v>
      </c>
      <c r="AL25">
        <f>VLOOKUP(AK25,Lookups!$E$2:$F$47,2,FALSE)</f>
        <v>0.7</v>
      </c>
      <c r="AM25" s="30"/>
      <c r="AN25" s="29" t="str">
        <f t="shared" si="6"/>
        <v/>
      </c>
      <c r="AO25" t="str">
        <f>IF(AN25="","",_xlfn.RANK.EQ(AN25,$AN$7:$AN$34,1)+COUNTIF($AN$7:AN25,AN25)-1)</f>
        <v/>
      </c>
      <c r="AP25" s="19" t="str">
        <f t="shared" si="14"/>
        <v/>
      </c>
      <c r="AQ25" s="18" t="str">
        <f t="shared" si="15"/>
        <v/>
      </c>
      <c r="AR25" s="17" t="str">
        <f t="shared" si="16"/>
        <v/>
      </c>
      <c r="AS25" s="16" t="str">
        <f t="shared" si="17"/>
        <v>~</v>
      </c>
      <c r="AU25">
        <v>18</v>
      </c>
      <c r="AV25" t="s">
        <v>40</v>
      </c>
      <c r="AW25" t="s">
        <v>17</v>
      </c>
      <c r="AX25">
        <f>VLOOKUP(AW25,Lookups!$E$2:$F$47,2,FALSE)</f>
        <v>0.7</v>
      </c>
      <c r="AY25" s="30"/>
      <c r="AZ25" s="29" t="str">
        <f t="shared" si="7"/>
        <v/>
      </c>
      <c r="BA25" t="str">
        <f>IF(AZ25="","",_xlfn.RANK.EQ(AZ25,$AZ$7:$AZ$34,1)+COUNTIF($AZ$7:AZ25,AZ25)-1)</f>
        <v/>
      </c>
      <c r="BB25" s="19" t="str">
        <f t="shared" si="18"/>
        <v/>
      </c>
      <c r="BC25" s="18" t="str">
        <f t="shared" si="19"/>
        <v/>
      </c>
      <c r="BD25" s="17" t="str">
        <f t="shared" si="20"/>
        <v/>
      </c>
      <c r="BE25" s="16" t="str">
        <f t="shared" si="21"/>
        <v>~</v>
      </c>
      <c r="BF25" s="31" t="str">
        <f>" "</f>
        <v xml:space="preserve"> </v>
      </c>
    </row>
    <row r="26" spans="1:58" x14ac:dyDescent="0.25">
      <c r="A26">
        <v>19</v>
      </c>
      <c r="B26" t="s">
        <v>41</v>
      </c>
      <c r="C26" t="s">
        <v>17</v>
      </c>
      <c r="D26">
        <f>VLOOKUP(C26,Lookups!$E$2:$F$47,2,FALSE)</f>
        <v>0.7</v>
      </c>
      <c r="E26" s="30"/>
      <c r="F26" s="29" t="str">
        <f t="shared" si="0"/>
        <v/>
      </c>
      <c r="G26" t="str">
        <f>IF(F26="","",_xlfn.RANK.EQ(F26,$F$7:$F$34,1)+COUNTIF($F$7:F26,F26)-1)</f>
        <v/>
      </c>
      <c r="H26" s="19" t="str">
        <f t="shared" si="1"/>
        <v/>
      </c>
      <c r="I26" s="18" t="str">
        <f t="shared" si="23"/>
        <v/>
      </c>
      <c r="J26" s="17" t="str">
        <f t="shared" si="24"/>
        <v/>
      </c>
      <c r="K26" s="16" t="str">
        <f t="shared" si="3"/>
        <v>~</v>
      </c>
      <c r="M26">
        <v>19</v>
      </c>
      <c r="N26" t="s">
        <v>41</v>
      </c>
      <c r="O26" t="s">
        <v>17</v>
      </c>
      <c r="P26">
        <f>VLOOKUP(O26,Lookups!$E$2:$F$47,2,FALSE)</f>
        <v>0.7</v>
      </c>
      <c r="Q26" s="30"/>
      <c r="R26" s="29" t="str">
        <f t="shared" si="4"/>
        <v/>
      </c>
      <c r="S26" t="str">
        <f>IF(R26="","",_xlfn.RANK.EQ(R26,$R$7:$R$34,1)+COUNTIF($R$7:R26,R26)-1)</f>
        <v/>
      </c>
      <c r="T26" s="19" t="str">
        <f t="shared" si="8"/>
        <v/>
      </c>
      <c r="U26" s="18" t="str">
        <f t="shared" si="25"/>
        <v/>
      </c>
      <c r="V26" s="17" t="str">
        <f t="shared" si="9"/>
        <v/>
      </c>
      <c r="W26" s="16" t="str">
        <f t="shared" si="10"/>
        <v>~</v>
      </c>
      <c r="X26" s="129"/>
      <c r="Y26" t="s">
        <v>41</v>
      </c>
      <c r="Z26" t="s">
        <v>17</v>
      </c>
      <c r="AA26">
        <f>VLOOKUP(Z26,Lookups!$E$2:$F$47,2,FALSE)</f>
        <v>0.7</v>
      </c>
      <c r="AB26" s="30"/>
      <c r="AC26" s="29" t="str">
        <f t="shared" si="5"/>
        <v/>
      </c>
      <c r="AD26" t="str">
        <f>IF(AC26="","",_xlfn.RANK.EQ(AC26,$AC$8:$AC$35,1)+COUNTIF($AC$7:AC26,AC26)-1)</f>
        <v/>
      </c>
      <c r="AE26" s="19" t="str">
        <f t="shared" si="11"/>
        <v/>
      </c>
      <c r="AF26" s="18" t="str">
        <f t="shared" si="26"/>
        <v/>
      </c>
      <c r="AG26" s="17" t="str">
        <f t="shared" si="12"/>
        <v/>
      </c>
      <c r="AH26" s="16" t="str">
        <f t="shared" si="13"/>
        <v>~</v>
      </c>
      <c r="AI26">
        <v>19</v>
      </c>
      <c r="AJ26" t="s">
        <v>41</v>
      </c>
      <c r="AK26" t="s">
        <v>17</v>
      </c>
      <c r="AL26">
        <f>VLOOKUP(AK26,Lookups!$E$2:$F$47,2,FALSE)</f>
        <v>0.7</v>
      </c>
      <c r="AM26" s="30"/>
      <c r="AN26" s="29" t="str">
        <f t="shared" si="6"/>
        <v/>
      </c>
      <c r="AO26" t="str">
        <f>IF(AN26="","",_xlfn.RANK.EQ(AN26,$AN$7:$AN$34,1)+COUNTIF($AN$7:AN26,AN26)-1)</f>
        <v/>
      </c>
      <c r="AP26" s="19" t="str">
        <f t="shared" si="14"/>
        <v/>
      </c>
      <c r="AQ26" s="18" t="str">
        <f t="shared" si="15"/>
        <v/>
      </c>
      <c r="AR26" s="17" t="str">
        <f t="shared" si="16"/>
        <v/>
      </c>
      <c r="AS26" s="16" t="str">
        <f t="shared" si="17"/>
        <v>~</v>
      </c>
      <c r="AU26">
        <v>19</v>
      </c>
      <c r="AV26" t="s">
        <v>41</v>
      </c>
      <c r="AW26" t="s">
        <v>17</v>
      </c>
      <c r="AX26">
        <f>VLOOKUP(AW26,Lookups!$E$2:$F$47,2,FALSE)</f>
        <v>0.7</v>
      </c>
      <c r="AY26" s="30"/>
      <c r="AZ26" s="29" t="str">
        <f t="shared" si="7"/>
        <v/>
      </c>
      <c r="BA26" t="str">
        <f>IF(AZ26="","",_xlfn.RANK.EQ(AZ26,$AZ$7:$AZ$34,1)+COUNTIF($AZ$7:AZ26,AZ26)-1)</f>
        <v/>
      </c>
      <c r="BB26" s="19" t="str">
        <f t="shared" si="18"/>
        <v/>
      </c>
      <c r="BC26" s="18" t="str">
        <f t="shared" si="19"/>
        <v/>
      </c>
      <c r="BD26" s="17" t="str">
        <f t="shared" si="20"/>
        <v/>
      </c>
      <c r="BE26" s="16" t="str">
        <f t="shared" si="21"/>
        <v>~</v>
      </c>
      <c r="BF26" s="31" t="str">
        <f>" "</f>
        <v xml:space="preserve"> </v>
      </c>
    </row>
    <row r="27" spans="1:58" x14ac:dyDescent="0.25">
      <c r="A27">
        <v>20</v>
      </c>
      <c r="B27" t="s">
        <v>44</v>
      </c>
      <c r="C27" t="s">
        <v>45</v>
      </c>
      <c r="D27">
        <f>VLOOKUP(C27,Lookups!$E$2:$F$47,2,FALSE)</f>
        <v>0.67</v>
      </c>
      <c r="E27" s="30"/>
      <c r="F27" s="29" t="str">
        <f t="shared" si="0"/>
        <v/>
      </c>
      <c r="G27" t="str">
        <f>IF(F27="","",_xlfn.RANK.EQ(F27,$F$7:$F$34,1)+COUNTIF($F$7:F27,F27)-1)</f>
        <v/>
      </c>
      <c r="H27" s="19" t="str">
        <f t="shared" si="1"/>
        <v/>
      </c>
      <c r="I27" s="18" t="str">
        <f t="shared" si="23"/>
        <v/>
      </c>
      <c r="J27" s="17" t="str">
        <f t="shared" si="24"/>
        <v/>
      </c>
      <c r="K27" s="16" t="str">
        <f t="shared" si="3"/>
        <v>~</v>
      </c>
      <c r="M27">
        <v>20</v>
      </c>
      <c r="N27" t="s">
        <v>44</v>
      </c>
      <c r="O27" t="s">
        <v>45</v>
      </c>
      <c r="P27">
        <f>VLOOKUP(O27,Lookups!$E$2:$F$47,2,FALSE)</f>
        <v>0.67</v>
      </c>
      <c r="Q27" s="30"/>
      <c r="R27" s="29" t="str">
        <f t="shared" si="4"/>
        <v/>
      </c>
      <c r="S27" t="str">
        <f>IF(R27="","",_xlfn.RANK.EQ(R27,$R$7:$R$34,1)+COUNTIF($R$7:R27,R27)-1)</f>
        <v/>
      </c>
      <c r="T27" s="19" t="str">
        <f t="shared" si="8"/>
        <v/>
      </c>
      <c r="U27" s="18" t="str">
        <f t="shared" si="25"/>
        <v/>
      </c>
      <c r="V27" s="17" t="str">
        <f t="shared" si="9"/>
        <v/>
      </c>
      <c r="W27" s="16" t="str">
        <f t="shared" si="10"/>
        <v>~</v>
      </c>
      <c r="X27" s="129"/>
      <c r="Y27" t="s">
        <v>44</v>
      </c>
      <c r="Z27" t="s">
        <v>45</v>
      </c>
      <c r="AA27">
        <f>VLOOKUP(Z27,Lookups!$E$2:$F$47,2,FALSE)</f>
        <v>0.67</v>
      </c>
      <c r="AB27" s="30"/>
      <c r="AC27" s="29" t="str">
        <f t="shared" si="5"/>
        <v/>
      </c>
      <c r="AD27" t="str">
        <f>IF(AC27="","",_xlfn.RANK.EQ(AC27,$AC$8:$AC$35,1)+COUNTIF($AC$7:AC27,AC27)-1)</f>
        <v/>
      </c>
      <c r="AE27" s="19" t="str">
        <f t="shared" si="11"/>
        <v/>
      </c>
      <c r="AF27" s="18" t="str">
        <f t="shared" si="26"/>
        <v/>
      </c>
      <c r="AG27" s="17" t="str">
        <f t="shared" si="12"/>
        <v/>
      </c>
      <c r="AH27" s="16" t="str">
        <f t="shared" si="13"/>
        <v>~</v>
      </c>
      <c r="AI27">
        <v>20</v>
      </c>
      <c r="AJ27" t="s">
        <v>44</v>
      </c>
      <c r="AK27" t="s">
        <v>45</v>
      </c>
      <c r="AL27">
        <f>VLOOKUP(AK27,Lookups!$E$2:$F$47,2,FALSE)</f>
        <v>0.67</v>
      </c>
      <c r="AM27" s="30"/>
      <c r="AN27" s="29" t="str">
        <f t="shared" si="6"/>
        <v/>
      </c>
      <c r="AO27" t="str">
        <f>IF(AN27="","",_xlfn.RANK.EQ(AN27,$AN$7:$AN$34,1)+COUNTIF($AN$7:AN27,AN27)-1)</f>
        <v/>
      </c>
      <c r="AP27" s="19" t="str">
        <f t="shared" si="14"/>
        <v/>
      </c>
      <c r="AQ27" s="18" t="str">
        <f t="shared" si="15"/>
        <v/>
      </c>
      <c r="AR27" s="17" t="str">
        <f t="shared" si="16"/>
        <v/>
      </c>
      <c r="AS27" s="16" t="str">
        <f t="shared" si="17"/>
        <v>~</v>
      </c>
      <c r="AU27">
        <v>20</v>
      </c>
      <c r="AV27" t="s">
        <v>44</v>
      </c>
      <c r="AW27" t="s">
        <v>45</v>
      </c>
      <c r="AX27">
        <f>VLOOKUP(AW27,Lookups!$E$2:$F$47,2,FALSE)</f>
        <v>0.67</v>
      </c>
      <c r="AY27" s="30">
        <v>2.9282407407407406E-2</v>
      </c>
      <c r="AZ27" s="29">
        <f t="shared" si="7"/>
        <v>1.9619212962962963E-2</v>
      </c>
      <c r="BA27">
        <f>IF(AZ27="","",_xlfn.RANK.EQ(AZ27,$AZ$7:$AZ$34,1)+COUNTIF($AZ$7:AZ27,AZ27)-1)</f>
        <v>1</v>
      </c>
      <c r="BB27" s="19">
        <f t="shared" si="18"/>
        <v>1279.8348632544021</v>
      </c>
      <c r="BC27" s="18">
        <f t="shared" si="19"/>
        <v>999.99999999999989</v>
      </c>
      <c r="BD27" s="17">
        <f t="shared" si="20"/>
        <v>1000</v>
      </c>
      <c r="BE27" s="16">
        <f t="shared" si="21"/>
        <v>1000</v>
      </c>
      <c r="BF27" s="31">
        <f t="shared" si="22"/>
        <v>999.99999999999989</v>
      </c>
    </row>
    <row r="28" spans="1:58"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23"/>
        <v/>
      </c>
      <c r="J28" s="17" t="str">
        <f t="shared" si="24"/>
        <v/>
      </c>
      <c r="K28" s="16" t="str">
        <f t="shared" si="3"/>
        <v>~</v>
      </c>
      <c r="M28">
        <v>20</v>
      </c>
      <c r="N28" t="s">
        <v>42</v>
      </c>
      <c r="O28" t="s">
        <v>43</v>
      </c>
      <c r="P28">
        <f>VLOOKUP(O28,Lookups!$E$2:$F$47,2,FALSE)</f>
        <v>0.64</v>
      </c>
      <c r="Q28" s="30"/>
      <c r="R28" s="29" t="str">
        <f t="shared" si="4"/>
        <v/>
      </c>
      <c r="S28" t="str">
        <f>IF(R28="","",_xlfn.RANK.EQ(R28,$R$7:$R$34,1)+COUNTIF($R$7:R28,R28)-1)</f>
        <v/>
      </c>
      <c r="T28" s="19" t="str">
        <f t="shared" si="8"/>
        <v/>
      </c>
      <c r="U28" s="18" t="str">
        <f t="shared" si="25"/>
        <v/>
      </c>
      <c r="V28" s="17" t="str">
        <f t="shared" si="9"/>
        <v/>
      </c>
      <c r="W28" s="16" t="str">
        <f t="shared" si="10"/>
        <v>~</v>
      </c>
      <c r="X28" s="129"/>
      <c r="Y28" t="s">
        <v>42</v>
      </c>
      <c r="Z28" t="s">
        <v>43</v>
      </c>
      <c r="AA28">
        <f>VLOOKUP(Z28,Lookups!$E$2:$F$47,2,FALSE)</f>
        <v>0.64</v>
      </c>
      <c r="AB28" s="30"/>
      <c r="AC28" s="29" t="str">
        <f t="shared" si="5"/>
        <v/>
      </c>
      <c r="AD28" t="str">
        <f>IF(AC28="","",_xlfn.RANK.EQ(AC28,$AC$8:$AC$35,1)+COUNTIF($AC$7:AC28,AC28)-1)</f>
        <v/>
      </c>
      <c r="AE28" s="19" t="str">
        <f t="shared" si="11"/>
        <v/>
      </c>
      <c r="AF28" s="18" t="str">
        <f t="shared" si="26"/>
        <v/>
      </c>
      <c r="AG28" s="17" t="str">
        <f t="shared" si="12"/>
        <v/>
      </c>
      <c r="AH28" s="16" t="str">
        <f t="shared" si="13"/>
        <v>~</v>
      </c>
      <c r="AI28">
        <v>20</v>
      </c>
      <c r="AJ28" t="s">
        <v>42</v>
      </c>
      <c r="AK28" t="s">
        <v>43</v>
      </c>
      <c r="AL28">
        <f>VLOOKUP(AK28,Lookups!$E$2:$F$47,2,FALSE)</f>
        <v>0.64</v>
      </c>
      <c r="AM28" s="30"/>
      <c r="AN28" s="29" t="str">
        <f t="shared" si="6"/>
        <v/>
      </c>
      <c r="AO28" t="str">
        <f>IF(AN28="","",_xlfn.RANK.EQ(AN28,$AN$7:$AN$34,1)+COUNTIF($AN$7:AN28,AN28)-1)</f>
        <v/>
      </c>
      <c r="AP28" s="19" t="str">
        <f t="shared" si="14"/>
        <v/>
      </c>
      <c r="AQ28" s="18" t="str">
        <f t="shared" si="15"/>
        <v/>
      </c>
      <c r="AR28" s="17" t="str">
        <f t="shared" si="16"/>
        <v/>
      </c>
      <c r="AS28" s="16" t="str">
        <f t="shared" si="17"/>
        <v>~</v>
      </c>
      <c r="AU28">
        <v>20</v>
      </c>
      <c r="AV28" t="s">
        <v>42</v>
      </c>
      <c r="AW28" t="s">
        <v>43</v>
      </c>
      <c r="AX28">
        <f>VLOOKUP(AW28,Lookups!$E$2:$F$47,2,FALSE)</f>
        <v>0.64</v>
      </c>
      <c r="AY28" s="30"/>
      <c r="AZ28" s="29" t="str">
        <f t="shared" si="7"/>
        <v/>
      </c>
      <c r="BA28" t="str">
        <f>IF(AZ28="","",_xlfn.RANK.EQ(AZ28,$AZ$7:$AZ$34,1)+COUNTIF($AZ$7:AZ28,AZ28)-1)</f>
        <v/>
      </c>
      <c r="BB28" s="19" t="str">
        <f t="shared" si="18"/>
        <v/>
      </c>
      <c r="BC28" s="18" t="str">
        <f t="shared" si="19"/>
        <v/>
      </c>
      <c r="BD28" s="17" t="str">
        <f t="shared" si="20"/>
        <v/>
      </c>
      <c r="BE28" s="16" t="str">
        <f t="shared" si="21"/>
        <v>~</v>
      </c>
      <c r="BF28" s="31" t="str">
        <f>" "</f>
        <v xml:space="preserve"> </v>
      </c>
    </row>
    <row r="29" spans="1:58" x14ac:dyDescent="0.25">
      <c r="A29">
        <v>22</v>
      </c>
      <c r="B29" t="s">
        <v>55</v>
      </c>
      <c r="C29" t="s">
        <v>45</v>
      </c>
      <c r="D29">
        <f>VLOOKUP(C29,Lookups!$E$2:$F$47,2,FALSE)</f>
        <v>0.67</v>
      </c>
      <c r="E29" s="30"/>
      <c r="F29" s="29" t="str">
        <f t="shared" si="0"/>
        <v/>
      </c>
      <c r="G29" t="str">
        <f>IF(F29="","",_xlfn.RANK.EQ(F29,$F$7:$F$34,1)+COUNTIF($F$7:F29,F29)-1)</f>
        <v/>
      </c>
      <c r="H29" s="19" t="str">
        <f t="shared" si="1"/>
        <v/>
      </c>
      <c r="I29" s="18" t="str">
        <f t="shared" si="23"/>
        <v/>
      </c>
      <c r="J29" s="17" t="str">
        <f t="shared" si="24"/>
        <v/>
      </c>
      <c r="K29" s="16" t="str">
        <f t="shared" si="3"/>
        <v>~</v>
      </c>
      <c r="M29">
        <v>22</v>
      </c>
      <c r="N29" t="s">
        <v>55</v>
      </c>
      <c r="O29" t="s">
        <v>45</v>
      </c>
      <c r="P29">
        <f>VLOOKUP(O29,Lookups!$E$2:$F$47,2,FALSE)</f>
        <v>0.67</v>
      </c>
      <c r="Q29" s="30"/>
      <c r="R29" s="29" t="str">
        <f t="shared" si="4"/>
        <v/>
      </c>
      <c r="S29" t="str">
        <f>IF(R29="","",_xlfn.RANK.EQ(R29,$R$7:$R$34,1)+COUNTIF($R$7:R29,R29)-1)</f>
        <v/>
      </c>
      <c r="T29" s="19" t="str">
        <f t="shared" si="8"/>
        <v/>
      </c>
      <c r="U29" s="18" t="str">
        <f t="shared" si="25"/>
        <v/>
      </c>
      <c r="V29" s="17" t="str">
        <f t="shared" si="9"/>
        <v/>
      </c>
      <c r="W29" s="16" t="str">
        <f t="shared" si="10"/>
        <v>~</v>
      </c>
      <c r="X29" s="129"/>
      <c r="Y29" t="s">
        <v>55</v>
      </c>
      <c r="Z29" t="s">
        <v>45</v>
      </c>
      <c r="AA29">
        <f>VLOOKUP(Z29,Lookups!$E$2:$F$47,2,FALSE)</f>
        <v>0.67</v>
      </c>
      <c r="AB29" s="30"/>
      <c r="AC29" s="29" t="str">
        <f t="shared" si="5"/>
        <v/>
      </c>
      <c r="AD29" t="str">
        <f>IF(AC29="","",_xlfn.RANK.EQ(AC29,$AC$8:$AC$35,1)+COUNTIF($AC$7:AC29,AC29)-1)</f>
        <v/>
      </c>
      <c r="AE29" s="19" t="str">
        <f t="shared" si="11"/>
        <v/>
      </c>
      <c r="AF29" s="18" t="str">
        <f t="shared" si="26"/>
        <v/>
      </c>
      <c r="AG29" s="17" t="str">
        <f t="shared" si="12"/>
        <v/>
      </c>
      <c r="AH29" s="16" t="str">
        <f t="shared" si="13"/>
        <v>~</v>
      </c>
      <c r="AI29">
        <v>22</v>
      </c>
      <c r="AJ29" t="s">
        <v>55</v>
      </c>
      <c r="AK29" t="s">
        <v>45</v>
      </c>
      <c r="AL29">
        <f>VLOOKUP(AK29,Lookups!$E$2:$F$47,2,FALSE)</f>
        <v>0.67</v>
      </c>
      <c r="AM29" s="30"/>
      <c r="AN29" s="29" t="str">
        <f t="shared" si="6"/>
        <v/>
      </c>
      <c r="AO29" t="str">
        <f>IF(AN29="","",_xlfn.RANK.EQ(AN29,$AN$7:$AN$34,1)+COUNTIF($AN$7:AN29,AN29)-1)</f>
        <v/>
      </c>
      <c r="AP29" s="19" t="str">
        <f t="shared" si="14"/>
        <v/>
      </c>
      <c r="AQ29" s="18" t="str">
        <f t="shared" si="15"/>
        <v/>
      </c>
      <c r="AR29" s="17" t="str">
        <f t="shared" si="16"/>
        <v/>
      </c>
      <c r="AS29" s="16" t="str">
        <f t="shared" si="17"/>
        <v>~</v>
      </c>
      <c r="AU29">
        <v>22</v>
      </c>
      <c r="AV29" t="s">
        <v>55</v>
      </c>
      <c r="AW29" t="s">
        <v>45</v>
      </c>
      <c r="AX29">
        <f>VLOOKUP(AW29,Lookups!$E$2:$F$47,2,FALSE)</f>
        <v>0.67</v>
      </c>
      <c r="AY29" s="30">
        <v>3.1875000000000001E-2</v>
      </c>
      <c r="AZ29" s="29">
        <f t="shared" si="7"/>
        <v>2.135625E-2</v>
      </c>
      <c r="BA29">
        <f>IF(AZ29="","",_xlfn.RANK.EQ(AZ29,$AZ$7:$AZ$34,1)+COUNTIF($AZ$7:AZ29,AZ29)-1)</f>
        <v>2</v>
      </c>
      <c r="BB29" s="19">
        <f t="shared" si="18"/>
        <v>895.71032413348189</v>
      </c>
      <c r="BC29" s="18">
        <f t="shared" si="19"/>
        <v>918.66376180101668</v>
      </c>
      <c r="BD29" s="17">
        <f t="shared" si="20"/>
        <v>991.1462450592885</v>
      </c>
      <c r="BE29" s="16">
        <f t="shared" si="21"/>
        <v>998</v>
      </c>
      <c r="BF29" s="31">
        <f t="shared" si="22"/>
        <v>918.66376180101668</v>
      </c>
    </row>
    <row r="30" spans="1:58" x14ac:dyDescent="0.25">
      <c r="A30">
        <v>23</v>
      </c>
      <c r="B30" t="s">
        <v>46</v>
      </c>
      <c r="C30" t="s">
        <v>47</v>
      </c>
      <c r="D30">
        <f>VLOOKUP(C30,Lookups!$E$2:$F$47,2,FALSE)</f>
        <v>0.8</v>
      </c>
      <c r="E30" s="30"/>
      <c r="F30" s="29" t="str">
        <f t="shared" si="0"/>
        <v/>
      </c>
      <c r="G30" t="str">
        <f>IF(F30="","",_xlfn.RANK.EQ(F30,$F$7:$F$34,1)+COUNTIF($F$7:F30,F30)-1)</f>
        <v/>
      </c>
      <c r="H30" s="19" t="str">
        <f t="shared" si="1"/>
        <v/>
      </c>
      <c r="I30" s="18" t="str">
        <f t="shared" si="23"/>
        <v/>
      </c>
      <c r="J30" s="17" t="str">
        <f t="shared" si="24"/>
        <v/>
      </c>
      <c r="K30" s="16" t="str">
        <f t="shared" si="3"/>
        <v>~</v>
      </c>
      <c r="M30">
        <v>23</v>
      </c>
      <c r="N30" t="s">
        <v>46</v>
      </c>
      <c r="O30" t="s">
        <v>47</v>
      </c>
      <c r="P30">
        <f>VLOOKUP(O30,Lookups!$E$2:$F$47,2,FALSE)</f>
        <v>0.8</v>
      </c>
      <c r="Q30" s="30"/>
      <c r="R30" s="29" t="str">
        <f t="shared" si="4"/>
        <v/>
      </c>
      <c r="S30" t="str">
        <f>IF(R30="","",_xlfn.RANK.EQ(R30,$R$7:$R$34,1)+COUNTIF($R$7:R30,R30)-1)</f>
        <v/>
      </c>
      <c r="T30" s="19" t="str">
        <f t="shared" si="8"/>
        <v/>
      </c>
      <c r="U30" s="18" t="str">
        <f t="shared" si="25"/>
        <v/>
      </c>
      <c r="V30" s="17" t="str">
        <f t="shared" si="9"/>
        <v/>
      </c>
      <c r="W30" s="16" t="str">
        <f t="shared" si="10"/>
        <v>~</v>
      </c>
      <c r="X30" s="129"/>
      <c r="Y30" t="s">
        <v>46</v>
      </c>
      <c r="Z30" t="s">
        <v>47</v>
      </c>
      <c r="AA30">
        <f>VLOOKUP(Z30,Lookups!$E$2:$F$47,2,FALSE)</f>
        <v>0.8</v>
      </c>
      <c r="AB30" s="30"/>
      <c r="AC30" s="29" t="str">
        <f t="shared" si="5"/>
        <v/>
      </c>
      <c r="AD30" t="str">
        <f>IF(AC30="","",_xlfn.RANK.EQ(AC30,$AC$8:$AC$35,1)+COUNTIF($AC$7:AC30,AC30)-1)</f>
        <v/>
      </c>
      <c r="AE30" s="19" t="str">
        <f t="shared" si="11"/>
        <v/>
      </c>
      <c r="AF30" s="18" t="str">
        <f t="shared" si="26"/>
        <v/>
      </c>
      <c r="AG30" s="17" t="str">
        <f t="shared" si="12"/>
        <v/>
      </c>
      <c r="AH30" s="16" t="str">
        <f t="shared" si="13"/>
        <v>~</v>
      </c>
      <c r="AI30">
        <v>23</v>
      </c>
      <c r="AJ30" t="s">
        <v>46</v>
      </c>
      <c r="AK30" t="s">
        <v>47</v>
      </c>
      <c r="AL30">
        <f>VLOOKUP(AK30,Lookups!$E$2:$F$47,2,FALSE)</f>
        <v>0.8</v>
      </c>
      <c r="AM30" s="30"/>
      <c r="AN30" s="29" t="str">
        <f t="shared" si="6"/>
        <v/>
      </c>
      <c r="AO30" t="str">
        <f>IF(AN30="","",_xlfn.RANK.EQ(AN30,$AN$7:$AN$34,1)+COUNTIF($AN$7:AN30,AN30)-1)</f>
        <v/>
      </c>
      <c r="AP30" s="19" t="str">
        <f t="shared" si="14"/>
        <v/>
      </c>
      <c r="AQ30" s="18" t="str">
        <f t="shared" si="15"/>
        <v/>
      </c>
      <c r="AR30" s="17" t="str">
        <f t="shared" si="16"/>
        <v/>
      </c>
      <c r="AS30" s="16" t="str">
        <f t="shared" si="17"/>
        <v>~</v>
      </c>
      <c r="AU30">
        <v>23</v>
      </c>
      <c r="AV30" t="s">
        <v>46</v>
      </c>
      <c r="AW30" t="s">
        <v>47</v>
      </c>
      <c r="AX30">
        <f>VLOOKUP(AW30,Lookups!$E$2:$F$47,2,FALSE)</f>
        <v>0.8</v>
      </c>
      <c r="AY30" s="30"/>
      <c r="AZ30" s="29" t="str">
        <f t="shared" si="7"/>
        <v/>
      </c>
      <c r="BA30" t="str">
        <f>IF(AZ30="","",_xlfn.RANK.EQ(AZ30,$AZ$7:$AZ$34,1)+COUNTIF($AZ$7:AZ30,AZ30)-1)</f>
        <v/>
      </c>
      <c r="BB30" s="19" t="str">
        <f t="shared" si="18"/>
        <v/>
      </c>
      <c r="BC30" s="18" t="str">
        <f t="shared" si="19"/>
        <v/>
      </c>
      <c r="BD30" s="17" t="str">
        <f t="shared" si="20"/>
        <v/>
      </c>
      <c r="BE30" s="16" t="str">
        <f t="shared" si="21"/>
        <v>~</v>
      </c>
      <c r="BF30" s="31" t="str">
        <f>" "</f>
        <v xml:space="preserve"> </v>
      </c>
    </row>
    <row r="31" spans="1:58" x14ac:dyDescent="0.25">
      <c r="A31">
        <v>24</v>
      </c>
      <c r="B31" t="s">
        <v>48</v>
      </c>
      <c r="C31" t="s">
        <v>49</v>
      </c>
      <c r="D31">
        <f>VLOOKUP(C31,Lookups!$E$2:$F$47,2,FALSE)</f>
        <v>0.7</v>
      </c>
      <c r="E31" s="30"/>
      <c r="F31" s="29" t="str">
        <f t="shared" si="0"/>
        <v/>
      </c>
      <c r="G31" t="str">
        <f>IF(F31="","",_xlfn.RANK.EQ(F31,$F$7:$F$34,1)+COUNTIF($F$7:F31,F31)-1)</f>
        <v/>
      </c>
      <c r="H31" s="19" t="str">
        <f t="shared" si="1"/>
        <v/>
      </c>
      <c r="I31" s="18" t="str">
        <f t="shared" si="23"/>
        <v/>
      </c>
      <c r="J31" s="17" t="str">
        <f t="shared" si="24"/>
        <v/>
      </c>
      <c r="K31" s="16" t="str">
        <f t="shared" si="3"/>
        <v>~</v>
      </c>
      <c r="M31">
        <v>24</v>
      </c>
      <c r="N31" t="s">
        <v>48</v>
      </c>
      <c r="O31" t="s">
        <v>49</v>
      </c>
      <c r="P31">
        <f>VLOOKUP(O31,Lookups!$E$2:$F$47,2,FALSE)</f>
        <v>0.7</v>
      </c>
      <c r="Q31" s="30"/>
      <c r="R31" s="29" t="str">
        <f t="shared" si="4"/>
        <v/>
      </c>
      <c r="S31" t="str">
        <f>IF(R31="","",_xlfn.RANK.EQ(R31,$R$7:$R$34,1)+COUNTIF($R$7:R31,R31)-1)</f>
        <v/>
      </c>
      <c r="T31" s="19" t="str">
        <f t="shared" si="8"/>
        <v/>
      </c>
      <c r="U31" s="18" t="str">
        <f t="shared" si="25"/>
        <v/>
      </c>
      <c r="V31" s="17" t="str">
        <f t="shared" si="9"/>
        <v/>
      </c>
      <c r="W31" s="16" t="str">
        <f t="shared" si="10"/>
        <v>~</v>
      </c>
      <c r="X31" s="129"/>
      <c r="Y31" t="s">
        <v>48</v>
      </c>
      <c r="Z31" t="s">
        <v>49</v>
      </c>
      <c r="AA31">
        <f>VLOOKUP(Z31,Lookups!$E$2:$F$47,2,FALSE)</f>
        <v>0.7</v>
      </c>
      <c r="AB31" s="30"/>
      <c r="AC31" s="29" t="str">
        <f t="shared" si="5"/>
        <v/>
      </c>
      <c r="AD31" t="str">
        <f>IF(AC31="","",_xlfn.RANK.EQ(AC31,$AC$8:$AC$35,1)+COUNTIF($AC$7:AC31,AC31)-1)</f>
        <v/>
      </c>
      <c r="AE31" s="19" t="str">
        <f t="shared" si="11"/>
        <v/>
      </c>
      <c r="AF31" s="18" t="str">
        <f t="shared" si="26"/>
        <v/>
      </c>
      <c r="AG31" s="17" t="str">
        <f t="shared" si="12"/>
        <v/>
      </c>
      <c r="AH31" s="16" t="str">
        <f t="shared" si="13"/>
        <v>~</v>
      </c>
      <c r="AI31">
        <v>24</v>
      </c>
      <c r="AJ31" t="s">
        <v>48</v>
      </c>
      <c r="AK31" t="s">
        <v>49</v>
      </c>
      <c r="AL31">
        <f>VLOOKUP(AK31,Lookups!$E$2:$F$47,2,FALSE)</f>
        <v>0.7</v>
      </c>
      <c r="AM31" s="30"/>
      <c r="AN31" s="29" t="str">
        <f t="shared" si="6"/>
        <v/>
      </c>
      <c r="AO31" t="str">
        <f>IF(AN31="","",_xlfn.RANK.EQ(AN31,$AN$7:$AN$34,1)+COUNTIF($AN$7:AN31,AN31)-1)</f>
        <v/>
      </c>
      <c r="AP31" s="19" t="str">
        <f t="shared" si="14"/>
        <v/>
      </c>
      <c r="AQ31" s="18" t="str">
        <f t="shared" si="15"/>
        <v/>
      </c>
      <c r="AR31" s="17" t="str">
        <f t="shared" si="16"/>
        <v/>
      </c>
      <c r="AS31" s="16" t="str">
        <f t="shared" si="17"/>
        <v>~</v>
      </c>
      <c r="AU31">
        <v>24</v>
      </c>
      <c r="AV31" t="s">
        <v>48</v>
      </c>
      <c r="AW31" t="s">
        <v>49</v>
      </c>
      <c r="AX31">
        <f>VLOOKUP(AW31,Lookups!$E$2:$F$47,2,FALSE)</f>
        <v>0.7</v>
      </c>
      <c r="AY31" s="30"/>
      <c r="AZ31" s="29" t="str">
        <f t="shared" si="7"/>
        <v/>
      </c>
      <c r="BA31" t="str">
        <f>IF(AZ31="","",_xlfn.RANK.EQ(AZ31,$AZ$7:$AZ$34,1)+COUNTIF($AZ$7:AZ31,AZ31)-1)</f>
        <v/>
      </c>
      <c r="BB31" s="19" t="str">
        <f t="shared" si="18"/>
        <v/>
      </c>
      <c r="BC31" s="18" t="str">
        <f t="shared" si="19"/>
        <v/>
      </c>
      <c r="BD31" s="17" t="str">
        <f t="shared" si="20"/>
        <v/>
      </c>
      <c r="BE31" s="16" t="str">
        <f t="shared" si="21"/>
        <v>~</v>
      </c>
      <c r="BF31" s="31" t="str">
        <f>" "</f>
        <v xml:space="preserve"> </v>
      </c>
    </row>
    <row r="32" spans="1:58"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23"/>
        <v/>
      </c>
      <c r="J32" s="17" t="str">
        <f t="shared" si="24"/>
        <v/>
      </c>
      <c r="K32" s="16" t="str">
        <f t="shared" si="3"/>
        <v>~</v>
      </c>
      <c r="M32">
        <v>25</v>
      </c>
      <c r="N32" t="s">
        <v>50</v>
      </c>
      <c r="O32" t="s">
        <v>27</v>
      </c>
      <c r="P32">
        <f>VLOOKUP(O32,Lookups!$E$2:$F$47,2,FALSE)</f>
        <v>0.86</v>
      </c>
      <c r="Q32" s="30"/>
      <c r="R32" s="29" t="str">
        <f t="shared" si="4"/>
        <v/>
      </c>
      <c r="S32" t="str">
        <f>IF(R32="","",_xlfn.RANK.EQ(R32,$R$7:$R$34,1)+COUNTIF($R$7:R32,R32)-1)</f>
        <v/>
      </c>
      <c r="T32" s="19" t="str">
        <f t="shared" si="8"/>
        <v/>
      </c>
      <c r="U32" s="18" t="str">
        <f t="shared" si="25"/>
        <v/>
      </c>
      <c r="V32" s="17" t="str">
        <f t="shared" si="9"/>
        <v/>
      </c>
      <c r="W32" s="16" t="str">
        <f t="shared" si="10"/>
        <v>~</v>
      </c>
      <c r="X32" s="129"/>
      <c r="Y32" t="s">
        <v>50</v>
      </c>
      <c r="Z32" t="s">
        <v>27</v>
      </c>
      <c r="AA32">
        <f>VLOOKUP(Z32,Lookups!$E$2:$F$47,2,FALSE)</f>
        <v>0.86</v>
      </c>
      <c r="AB32" s="30"/>
      <c r="AC32" s="29" t="str">
        <f t="shared" si="5"/>
        <v/>
      </c>
      <c r="AD32" t="str">
        <f>IF(AC32="","",_xlfn.RANK.EQ(AC32,$AC$8:$AC$35,1)+COUNTIF($AC$7:AC32,AC32)-1)</f>
        <v/>
      </c>
      <c r="AE32" s="19" t="str">
        <f t="shared" si="11"/>
        <v/>
      </c>
      <c r="AF32" s="18" t="str">
        <f t="shared" si="26"/>
        <v/>
      </c>
      <c r="AG32" s="17" t="str">
        <f t="shared" si="12"/>
        <v/>
      </c>
      <c r="AH32" s="16" t="str">
        <f t="shared" si="13"/>
        <v>~</v>
      </c>
      <c r="AI32">
        <v>25</v>
      </c>
      <c r="AJ32" t="s">
        <v>50</v>
      </c>
      <c r="AK32" t="s">
        <v>27</v>
      </c>
      <c r="AL32">
        <f>VLOOKUP(AK32,Lookups!$E$2:$F$47,2,FALSE)</f>
        <v>0.86</v>
      </c>
      <c r="AM32" s="30"/>
      <c r="AN32" s="29" t="str">
        <f t="shared" si="6"/>
        <v/>
      </c>
      <c r="AO32" t="str">
        <f>IF(AN32="","",_xlfn.RANK.EQ(AN32,$AN$7:$AN$34,1)+COUNTIF($AN$7:AN32,AN32)-1)</f>
        <v/>
      </c>
      <c r="AP32" s="19" t="str">
        <f t="shared" si="14"/>
        <v/>
      </c>
      <c r="AQ32" s="18" t="str">
        <f t="shared" si="15"/>
        <v/>
      </c>
      <c r="AR32" s="17" t="str">
        <f t="shared" si="16"/>
        <v/>
      </c>
      <c r="AS32" s="16" t="str">
        <f t="shared" si="17"/>
        <v>~</v>
      </c>
      <c r="AU32">
        <v>25</v>
      </c>
      <c r="AV32" t="s">
        <v>50</v>
      </c>
      <c r="AW32" t="s">
        <v>27</v>
      </c>
      <c r="AX32">
        <f>VLOOKUP(AW32,Lookups!$E$2:$F$47,2,FALSE)</f>
        <v>0.86</v>
      </c>
      <c r="AY32" s="30"/>
      <c r="AZ32" s="29" t="str">
        <f t="shared" si="7"/>
        <v/>
      </c>
      <c r="BA32" t="str">
        <f>IF(AZ32="","",_xlfn.RANK.EQ(AZ32,$AZ$7:$AZ$34,1)+COUNTIF($AZ$7:AZ32,AZ32)-1)</f>
        <v/>
      </c>
      <c r="BB32" s="19" t="str">
        <f t="shared" si="18"/>
        <v/>
      </c>
      <c r="BC32" s="18" t="str">
        <f t="shared" si="19"/>
        <v/>
      </c>
      <c r="BD32" s="17" t="str">
        <f t="shared" si="20"/>
        <v/>
      </c>
      <c r="BE32" s="16" t="str">
        <f t="shared" si="21"/>
        <v>~</v>
      </c>
      <c r="BF32" s="31" t="str">
        <f>" "</f>
        <v xml:space="preserve"> </v>
      </c>
    </row>
    <row r="33" spans="1:58" x14ac:dyDescent="0.25">
      <c r="A33">
        <v>26</v>
      </c>
      <c r="B33" t="s">
        <v>51</v>
      </c>
      <c r="C33" t="s">
        <v>31</v>
      </c>
      <c r="D33">
        <f>VLOOKUP(C33,Lookups!$E$2:$F$47,2,FALSE)</f>
        <v>0.82</v>
      </c>
      <c r="E33" s="30"/>
      <c r="F33" s="29" t="str">
        <f t="shared" si="0"/>
        <v/>
      </c>
      <c r="G33" t="str">
        <f>IF(F33="","",_xlfn.RANK.EQ(F33,$F$7:$F$34,1)+COUNTIF($F$7:F33,F33)-1)</f>
        <v/>
      </c>
      <c r="H33" s="19" t="str">
        <f t="shared" si="1"/>
        <v/>
      </c>
      <c r="I33" s="18" t="str">
        <f t="shared" si="23"/>
        <v/>
      </c>
      <c r="J33" s="17" t="str">
        <f t="shared" si="24"/>
        <v/>
      </c>
      <c r="K33" s="16" t="str">
        <f t="shared" si="3"/>
        <v>~</v>
      </c>
      <c r="M33">
        <v>26</v>
      </c>
      <c r="N33" t="s">
        <v>51</v>
      </c>
      <c r="O33" t="s">
        <v>31</v>
      </c>
      <c r="P33">
        <f>VLOOKUP(O33,Lookups!$E$2:$F$47,2,FALSE)</f>
        <v>0.82</v>
      </c>
      <c r="Q33" s="30"/>
      <c r="R33" s="29" t="str">
        <f t="shared" si="4"/>
        <v/>
      </c>
      <c r="S33" t="str">
        <f>IF(R33="","",_xlfn.RANK.EQ(R33,$R$7:$R$34,1)+COUNTIF($R$7:R33,R33)-1)</f>
        <v/>
      </c>
      <c r="T33" s="19" t="str">
        <f t="shared" si="8"/>
        <v/>
      </c>
      <c r="U33" s="18" t="str">
        <f t="shared" si="25"/>
        <v/>
      </c>
      <c r="V33" s="17" t="str">
        <f t="shared" si="9"/>
        <v/>
      </c>
      <c r="W33" s="16" t="str">
        <f t="shared" si="10"/>
        <v>~</v>
      </c>
      <c r="X33" s="129"/>
      <c r="Y33" t="s">
        <v>51</v>
      </c>
      <c r="Z33" t="s">
        <v>31</v>
      </c>
      <c r="AA33">
        <f>VLOOKUP(Z33,Lookups!$E$2:$F$47,2,FALSE)</f>
        <v>0.82</v>
      </c>
      <c r="AB33" s="30"/>
      <c r="AC33" s="29" t="str">
        <f t="shared" si="5"/>
        <v/>
      </c>
      <c r="AD33" t="str">
        <f>IF(AC33="","",_xlfn.RANK.EQ(AC33,$AC$8:$AC$35,1)+COUNTIF($AC$7:AC33,AC33)-1)</f>
        <v/>
      </c>
      <c r="AE33" s="19" t="str">
        <f t="shared" si="11"/>
        <v/>
      </c>
      <c r="AF33" s="18" t="str">
        <f t="shared" si="26"/>
        <v/>
      </c>
      <c r="AG33" s="17" t="str">
        <f t="shared" si="12"/>
        <v/>
      </c>
      <c r="AH33" s="16" t="str">
        <f t="shared" si="13"/>
        <v>~</v>
      </c>
      <c r="AI33">
        <v>26</v>
      </c>
      <c r="AJ33" t="s">
        <v>51</v>
      </c>
      <c r="AK33" t="s">
        <v>31</v>
      </c>
      <c r="AL33">
        <f>VLOOKUP(AK33,Lookups!$E$2:$F$47,2,FALSE)</f>
        <v>0.82</v>
      </c>
      <c r="AM33" s="30"/>
      <c r="AN33" s="29" t="str">
        <f t="shared" si="6"/>
        <v/>
      </c>
      <c r="AO33" t="str">
        <f>IF(AN33="","",_xlfn.RANK.EQ(AN33,$AN$7:$AN$34,1)+COUNTIF($AN$7:AN33,AN33)-1)</f>
        <v/>
      </c>
      <c r="AP33" s="19" t="str">
        <f t="shared" si="14"/>
        <v/>
      </c>
      <c r="AQ33" s="18" t="str">
        <f t="shared" si="15"/>
        <v/>
      </c>
      <c r="AR33" s="17" t="str">
        <f t="shared" si="16"/>
        <v/>
      </c>
      <c r="AS33" s="16" t="str">
        <f t="shared" si="17"/>
        <v>~</v>
      </c>
      <c r="AU33">
        <v>26</v>
      </c>
      <c r="AV33" t="s">
        <v>38</v>
      </c>
      <c r="AW33" t="s">
        <v>31</v>
      </c>
      <c r="AX33">
        <f>VLOOKUP(AW33,Lookups!$E$2:$F$47,2,FALSE)</f>
        <v>0.82</v>
      </c>
      <c r="AY33" s="30"/>
      <c r="AZ33" s="29" t="str">
        <f t="shared" si="7"/>
        <v/>
      </c>
      <c r="BA33" t="str">
        <f>IF(AZ33="","",_xlfn.RANK.EQ(AZ33,$AZ$7:$AZ$34,1)+COUNTIF($AZ$7:AZ33,AZ33)-1)</f>
        <v/>
      </c>
      <c r="BB33" s="19" t="str">
        <f t="shared" si="18"/>
        <v/>
      </c>
      <c r="BC33" s="18" t="str">
        <f t="shared" si="19"/>
        <v/>
      </c>
      <c r="BD33" s="17" t="str">
        <f t="shared" si="20"/>
        <v/>
      </c>
      <c r="BE33" s="16" t="str">
        <f t="shared" si="21"/>
        <v>~</v>
      </c>
      <c r="BF33" s="31" t="str">
        <f>" "</f>
        <v xml:space="preserve"> </v>
      </c>
    </row>
    <row r="34" spans="1:58" x14ac:dyDescent="0.25">
      <c r="A34">
        <v>27</v>
      </c>
      <c r="B34" t="s">
        <v>52</v>
      </c>
      <c r="C34" t="s">
        <v>21</v>
      </c>
      <c r="D34">
        <f>VLOOKUP(C34,Lookups!$E$2:$F$47,2,FALSE)</f>
        <v>0.84</v>
      </c>
      <c r="E34" s="30"/>
      <c r="F34" s="29" t="str">
        <f t="shared" si="0"/>
        <v/>
      </c>
      <c r="G34" t="str">
        <f>IF(F34="","",_xlfn.RANK.EQ(F34,$F$7:$F$34,1)+COUNTIF($F$7:F34,F34)-1)</f>
        <v/>
      </c>
      <c r="H34" s="19" t="str">
        <f t="shared" si="1"/>
        <v/>
      </c>
      <c r="I34" s="18" t="str">
        <f t="shared" si="23"/>
        <v/>
      </c>
      <c r="J34" s="17" t="str">
        <f t="shared" si="24"/>
        <v/>
      </c>
      <c r="K34" s="16" t="str">
        <f t="shared" si="3"/>
        <v>~</v>
      </c>
      <c r="M34">
        <v>27</v>
      </c>
      <c r="N34" t="s">
        <v>52</v>
      </c>
      <c r="O34" t="s">
        <v>21</v>
      </c>
      <c r="P34">
        <f>VLOOKUP(O34,Lookups!$E$2:$F$47,2,FALSE)</f>
        <v>0.84</v>
      </c>
      <c r="Q34" s="30"/>
      <c r="R34" s="29" t="str">
        <f t="shared" si="4"/>
        <v/>
      </c>
      <c r="S34" t="str">
        <f>IF(R34="","",_xlfn.RANK.EQ(R34,$R$7:$R$34,1)+COUNTIF($R$7:R34,R34)-1)</f>
        <v/>
      </c>
      <c r="T34" s="19" t="str">
        <f t="shared" si="8"/>
        <v/>
      </c>
      <c r="U34" s="18" t="str">
        <f t="shared" si="25"/>
        <v/>
      </c>
      <c r="V34" s="17" t="str">
        <f t="shared" si="9"/>
        <v/>
      </c>
      <c r="W34" s="16" t="str">
        <f t="shared" si="10"/>
        <v>~</v>
      </c>
      <c r="X34" s="129"/>
      <c r="Y34" t="s">
        <v>52</v>
      </c>
      <c r="Z34" t="s">
        <v>21</v>
      </c>
      <c r="AA34">
        <f>VLOOKUP(Z34,Lookups!$E$2:$F$47,2,FALSE)</f>
        <v>0.84</v>
      </c>
      <c r="AB34" s="30"/>
      <c r="AC34" s="29" t="str">
        <f t="shared" si="5"/>
        <v/>
      </c>
      <c r="AD34" t="str">
        <f>IF(AC34="","",_xlfn.RANK.EQ(AC34,$AC$8:$AC$35,1)+COUNTIF($AC$7:AC34,AC34)-1)</f>
        <v/>
      </c>
      <c r="AE34" s="19" t="str">
        <f t="shared" si="11"/>
        <v/>
      </c>
      <c r="AF34" s="18" t="str">
        <f t="shared" si="26"/>
        <v/>
      </c>
      <c r="AG34" s="17" t="str">
        <f t="shared" si="12"/>
        <v/>
      </c>
      <c r="AH34" s="16" t="str">
        <f t="shared" si="13"/>
        <v>~</v>
      </c>
      <c r="AI34">
        <v>27</v>
      </c>
      <c r="AJ34" t="s">
        <v>52</v>
      </c>
      <c r="AK34" t="s">
        <v>21</v>
      </c>
      <c r="AL34">
        <f>VLOOKUP(AK34,Lookups!$E$2:$F$47,2,FALSE)</f>
        <v>0.84</v>
      </c>
      <c r="AM34" s="30"/>
      <c r="AN34" s="29" t="str">
        <f t="shared" si="6"/>
        <v/>
      </c>
      <c r="AO34" t="str">
        <f>IF(AN34="","",_xlfn.RANK.EQ(AN34,$AN$7:$AN$34,1)+COUNTIF($AN$7:AN34,AN34)-1)</f>
        <v/>
      </c>
      <c r="AP34" s="19" t="str">
        <f t="shared" si="14"/>
        <v/>
      </c>
      <c r="AQ34" s="18" t="str">
        <f t="shared" si="15"/>
        <v/>
      </c>
      <c r="AR34" s="17" t="str">
        <f t="shared" si="16"/>
        <v/>
      </c>
      <c r="AS34" s="16" t="str">
        <f t="shared" si="17"/>
        <v>~</v>
      </c>
      <c r="AU34">
        <v>27</v>
      </c>
      <c r="AV34" t="s">
        <v>25</v>
      </c>
      <c r="AW34" t="s">
        <v>21</v>
      </c>
      <c r="AX34">
        <f>VLOOKUP(AW34,Lookups!$E$2:$F$47,2,FALSE)</f>
        <v>0.84</v>
      </c>
      <c r="AY34" s="30"/>
      <c r="AZ34" s="29" t="str">
        <f t="shared" si="7"/>
        <v/>
      </c>
      <c r="BA34" t="str">
        <f>IF(AZ34="","",_xlfn.RANK.EQ(AZ34,$AZ$7:$AZ$34,1)+COUNTIF($AZ$7:AZ34,AZ34)-1)</f>
        <v/>
      </c>
      <c r="BB34" s="19" t="str">
        <f t="shared" si="18"/>
        <v/>
      </c>
      <c r="BC34" s="18" t="str">
        <f t="shared" si="19"/>
        <v/>
      </c>
      <c r="BD34" s="17" t="str">
        <f t="shared" si="20"/>
        <v/>
      </c>
      <c r="BE34" s="16" t="str">
        <f t="shared" si="21"/>
        <v>~</v>
      </c>
      <c r="BF34" s="31" t="str">
        <f>" "</f>
        <v xml:space="preserve"> </v>
      </c>
    </row>
    <row r="35" spans="1:58" x14ac:dyDescent="0.25">
      <c r="E35" s="26"/>
    </row>
    <row r="36" spans="1:58" x14ac:dyDescent="0.25">
      <c r="A36" t="s">
        <v>53</v>
      </c>
      <c r="E36" s="26"/>
    </row>
    <row r="37" spans="1:58" ht="30" x14ac:dyDescent="0.25">
      <c r="A37" t="s">
        <v>8</v>
      </c>
      <c r="B37" t="s">
        <v>9</v>
      </c>
      <c r="C37" t="s">
        <v>10</v>
      </c>
      <c r="D37" t="s">
        <v>54</v>
      </c>
      <c r="E37" s="27" t="s">
        <v>95</v>
      </c>
      <c r="F37" s="24" t="s">
        <v>94</v>
      </c>
      <c r="G37" s="24" t="s">
        <v>8</v>
      </c>
      <c r="H37" s="23" t="s">
        <v>93</v>
      </c>
      <c r="I37" s="22" t="s">
        <v>92</v>
      </c>
      <c r="J37" s="21" t="s">
        <v>91</v>
      </c>
      <c r="K37" s="20" t="s">
        <v>90</v>
      </c>
    </row>
    <row r="38" spans="1:58" x14ac:dyDescent="0.25">
      <c r="A38">
        <v>1</v>
      </c>
      <c r="B38" t="s">
        <v>55</v>
      </c>
      <c r="C38" t="s">
        <v>109</v>
      </c>
      <c r="D38">
        <f>VLOOKUP(C38,Lookups!$E$2:$F$47,2,FALSE)</f>
        <v>0.7</v>
      </c>
      <c r="E38" s="30"/>
      <c r="F38" s="29" t="str">
        <f>IF(E38="","",E38*D38)</f>
        <v/>
      </c>
      <c r="G38" t="str">
        <f>IF(F38="","",_xlfn.RANK.EQ(F38,$F$38:$F$60,1)+COUNTIF($F$38:F60,F38)-1)</f>
        <v/>
      </c>
      <c r="H38" s="19" t="str">
        <f t="shared" ref="H38:H60" si="32">IFERROR((1000+200*(AVERAGE($F$38:$F$60)-F38)/_xlfn.STDEV.P($F$38:$F$60)),"")</f>
        <v/>
      </c>
      <c r="I38" s="18" t="str">
        <f t="shared" ref="I38:I60" si="33">IFERROR(((1000*SMALL($F$38:$F$60,1)/F38)),"")</f>
        <v/>
      </c>
      <c r="J38" s="17" t="str">
        <f t="shared" ref="J38:J60" si="34">IF(E38="","",IF(F38&gt;=2*SMALL($F$38:$F$60,1),0,1000-((F38-SMALL($F$7:$F$60,1))/SMALL($F$38:$F$60,1)*100)))</f>
        <v/>
      </c>
      <c r="K38" s="16" t="str">
        <f>IFERROR((1000-MINUTE(F38-SMALL($F$38:$F$60,1))),"~")</f>
        <v>~</v>
      </c>
    </row>
    <row r="39" spans="1:58" x14ac:dyDescent="0.25">
      <c r="A39">
        <v>2</v>
      </c>
      <c r="B39" t="s">
        <v>57</v>
      </c>
      <c r="C39" t="s">
        <v>49</v>
      </c>
      <c r="D39">
        <f>VLOOKUP(C39,Lookups!$E$2:$F$47,2,FALSE)</f>
        <v>0.7</v>
      </c>
      <c r="E39" s="30"/>
      <c r="F39" s="29" t="str">
        <f>IF(E39="","",E39*D39)</f>
        <v/>
      </c>
      <c r="G39" t="str">
        <f>IF(F39="","",_xlfn.RANK.EQ(F39,$F$38:$F$60,1)+COUNTIF($F$38:F61,F39)-1)</f>
        <v/>
      </c>
      <c r="H39" s="19" t="str">
        <f t="shared" si="32"/>
        <v/>
      </c>
      <c r="I39" s="18" t="str">
        <f t="shared" si="33"/>
        <v/>
      </c>
      <c r="J39" s="17" t="str">
        <f t="shared" si="34"/>
        <v/>
      </c>
      <c r="K39" s="16" t="str">
        <f t="shared" ref="K39:K60" si="35">IFERROR((1000-MINUTE(F39-SMALL($F$38:$F$60,1))),"~")</f>
        <v>~</v>
      </c>
    </row>
    <row r="40" spans="1:58" x14ac:dyDescent="0.25">
      <c r="A40">
        <v>3</v>
      </c>
      <c r="B40" t="s">
        <v>67</v>
      </c>
      <c r="C40" t="s">
        <v>34</v>
      </c>
      <c r="D40">
        <f>VLOOKUP(C40,Lookups!$E$2:$F$47,2,FALSE)</f>
        <v>0.8</v>
      </c>
      <c r="E40" s="30">
        <v>6.2488425925925926E-2</v>
      </c>
      <c r="F40" s="29">
        <f t="shared" ref="F40:F60" si="36">IF(E40="","",E40*D40)</f>
        <v>4.9990740740740745E-2</v>
      </c>
      <c r="G40">
        <f>IF(F40="","",_xlfn.RANK.EQ(F40,$F$38:$F$60,1)+COUNTIF($F$38:F62,F40)-1)</f>
        <v>1</v>
      </c>
      <c r="H40" s="19">
        <f t="shared" si="32"/>
        <v>1169.0608628678908</v>
      </c>
      <c r="I40" s="18">
        <f t="shared" si="33"/>
        <v>1000</v>
      </c>
      <c r="J40" s="17">
        <f t="shared" si="34"/>
        <v>1000</v>
      </c>
      <c r="K40" s="16">
        <f t="shared" si="35"/>
        <v>1000</v>
      </c>
    </row>
    <row r="41" spans="1:58" x14ac:dyDescent="0.25">
      <c r="A41">
        <v>4</v>
      </c>
      <c r="B41" t="s">
        <v>65</v>
      </c>
      <c r="C41" t="s">
        <v>63</v>
      </c>
      <c r="D41">
        <f>VLOOKUP(C41,Lookups!$E$2:$F$47,2,FALSE)</f>
        <v>0.62</v>
      </c>
      <c r="E41" s="30"/>
      <c r="F41" s="29" t="str">
        <f t="shared" si="36"/>
        <v/>
      </c>
      <c r="G41" t="str">
        <f>IF(F41="","",_xlfn.RANK.EQ(F41,$F$38:$F$60,1)+COUNTIF($F$38:F63,F41)-1)</f>
        <v/>
      </c>
      <c r="H41" s="19" t="str">
        <f t="shared" si="32"/>
        <v/>
      </c>
      <c r="I41" s="18" t="str">
        <f t="shared" si="33"/>
        <v/>
      </c>
      <c r="J41" s="17" t="str">
        <f t="shared" si="34"/>
        <v/>
      </c>
      <c r="K41" s="16" t="str">
        <f t="shared" si="35"/>
        <v>~</v>
      </c>
    </row>
    <row r="42" spans="1:58" x14ac:dyDescent="0.25">
      <c r="A42">
        <v>5</v>
      </c>
      <c r="B42" t="s">
        <v>112</v>
      </c>
      <c r="C42" t="s">
        <v>17</v>
      </c>
      <c r="D42">
        <f>VLOOKUP(C42,Lookups!$E$2:$F$47,2,FALSE)</f>
        <v>0.7</v>
      </c>
      <c r="E42" s="30"/>
      <c r="F42" s="29" t="str">
        <f t="shared" si="36"/>
        <v/>
      </c>
      <c r="G42" t="str">
        <f>IF(F42="","",_xlfn.RANK.EQ(F42,$F$38:$F$60,1)+COUNTIF($F$38:F64,F42)-1)</f>
        <v/>
      </c>
      <c r="H42" s="19" t="str">
        <f t="shared" si="32"/>
        <v/>
      </c>
      <c r="I42" s="18" t="str">
        <f t="shared" si="33"/>
        <v/>
      </c>
      <c r="J42" s="17" t="str">
        <f t="shared" si="34"/>
        <v/>
      </c>
      <c r="K42" s="16" t="str">
        <f t="shared" si="35"/>
        <v>~</v>
      </c>
    </row>
    <row r="43" spans="1:58" x14ac:dyDescent="0.25">
      <c r="A43">
        <v>6</v>
      </c>
      <c r="B43" t="s">
        <v>61</v>
      </c>
      <c r="C43" t="s">
        <v>39</v>
      </c>
      <c r="D43">
        <f>VLOOKUP(C43,Lookups!$E$2:$F$47,2,FALSE)</f>
        <v>0.9</v>
      </c>
      <c r="E43" s="30"/>
      <c r="F43" s="29"/>
      <c r="H43" s="19"/>
      <c r="I43" s="18"/>
      <c r="J43" s="17"/>
      <c r="K43" s="16"/>
    </row>
    <row r="44" spans="1:58" x14ac:dyDescent="0.25">
      <c r="A44">
        <v>7</v>
      </c>
      <c r="B44" t="s">
        <v>116</v>
      </c>
      <c r="C44" t="s">
        <v>117</v>
      </c>
      <c r="D44">
        <f>VLOOKUP(C44,Lookups!$E$2:$F$47,2,FALSE)</f>
        <v>0.89</v>
      </c>
      <c r="E44" s="30"/>
      <c r="F44" s="29" t="str">
        <f t="shared" si="36"/>
        <v/>
      </c>
      <c r="G44" t="str">
        <f>IF(F44="","",_xlfn.RANK.EQ(F44,$F$38:$F$60,1)+COUNTIF($F$38:F66,F44)-1)</f>
        <v/>
      </c>
      <c r="H44" s="19" t="str">
        <f t="shared" si="32"/>
        <v/>
      </c>
      <c r="I44" s="18" t="str">
        <f t="shared" si="33"/>
        <v/>
      </c>
      <c r="J44" s="17" t="str">
        <f t="shared" si="34"/>
        <v/>
      </c>
      <c r="K44" s="16" t="str">
        <f t="shared" si="35"/>
        <v>~</v>
      </c>
    </row>
    <row r="45" spans="1:58" x14ac:dyDescent="0.25">
      <c r="A45">
        <v>8</v>
      </c>
      <c r="B45" t="s">
        <v>114</v>
      </c>
      <c r="C45" t="s">
        <v>31</v>
      </c>
      <c r="D45">
        <f>VLOOKUP(C45,Lookups!$E$2:$F$47,2,FALSE)</f>
        <v>0.82</v>
      </c>
      <c r="E45" s="30"/>
      <c r="F45" s="29" t="str">
        <f t="shared" ref="F45:F53" si="37">IF(E45="","",E45*D45)</f>
        <v/>
      </c>
      <c r="G45" t="str">
        <f>IF(F45="","",_xlfn.RANK.EQ(F45,$F$38:$F$60,1)+COUNTIF($F$38:F67,F45)-1)</f>
        <v/>
      </c>
      <c r="H45" s="19" t="str">
        <f t="shared" ref="H45:H53" si="38">IFERROR((1000+200*(AVERAGE($F$38:$F$60)-F45)/_xlfn.STDEV.P($F$38:$F$60)),"")</f>
        <v/>
      </c>
      <c r="I45" s="18" t="str">
        <f t="shared" ref="I45:I53" si="39">IFERROR(((1000*SMALL($F$38:$F$60,1)/F45)),"")</f>
        <v/>
      </c>
      <c r="J45" s="17" t="str">
        <f t="shared" ref="J45:J53" si="40">IF(E45="","",IF(F45&gt;=2*SMALL($F$38:$F$60,1),0,1000-((F45-SMALL($F$7:$F$60,1))/SMALL($F$38:$F$60,1)*100)))</f>
        <v/>
      </c>
      <c r="K45" s="16" t="str">
        <f t="shared" ref="K45:K53" si="41">IFERROR((1000-MINUTE(F45-SMALL($F$38:$F$60,1))),"~")</f>
        <v>~</v>
      </c>
    </row>
    <row r="46" spans="1:58" x14ac:dyDescent="0.25">
      <c r="A46">
        <v>9</v>
      </c>
      <c r="B46" t="s">
        <v>60</v>
      </c>
      <c r="C46" t="s">
        <v>34</v>
      </c>
      <c r="D46">
        <f>VLOOKUP(C46,Lookups!$E$2:$F$47,2,FALSE)</f>
        <v>0.8</v>
      </c>
      <c r="E46" s="30"/>
      <c r="F46" s="29" t="str">
        <f t="shared" si="37"/>
        <v/>
      </c>
      <c r="G46" t="str">
        <f>IF(F46="","",_xlfn.RANK.EQ(F46,$F$38:$F$60,1)+COUNTIF($F$38:F68,F46)-1)</f>
        <v/>
      </c>
      <c r="H46" s="19" t="str">
        <f t="shared" si="38"/>
        <v/>
      </c>
      <c r="I46" s="18" t="str">
        <f t="shared" si="39"/>
        <v/>
      </c>
      <c r="J46" s="17" t="str">
        <f t="shared" si="40"/>
        <v/>
      </c>
      <c r="K46" s="16" t="str">
        <f t="shared" si="41"/>
        <v>~</v>
      </c>
    </row>
    <row r="47" spans="1:58" x14ac:dyDescent="0.25">
      <c r="B47" t="s">
        <v>104</v>
      </c>
      <c r="C47" t="s">
        <v>47</v>
      </c>
      <c r="E47" s="30"/>
      <c r="F47" s="29" t="str">
        <f t="shared" si="37"/>
        <v/>
      </c>
      <c r="G47" t="str">
        <f>IF(F47="","",_xlfn.RANK.EQ(F47,$F$38:$F$60,1)+COUNTIF($F$38:F69,F47)-1)</f>
        <v/>
      </c>
      <c r="H47" s="19" t="str">
        <f t="shared" si="38"/>
        <v/>
      </c>
      <c r="I47" s="18" t="str">
        <f t="shared" si="39"/>
        <v/>
      </c>
      <c r="J47" s="17" t="str">
        <f t="shared" si="40"/>
        <v/>
      </c>
      <c r="K47" s="16" t="str">
        <f t="shared" si="41"/>
        <v>~</v>
      </c>
    </row>
    <row r="48" spans="1:58" x14ac:dyDescent="0.25">
      <c r="B48" t="s">
        <v>25</v>
      </c>
      <c r="C48" t="s">
        <v>26</v>
      </c>
      <c r="D48">
        <f>VLOOKUP(C48,Lookups!$E$2:$F$47,2,FALSE)</f>
        <v>0.67</v>
      </c>
      <c r="E48" s="30"/>
      <c r="F48" s="29" t="str">
        <f t="shared" si="37"/>
        <v/>
      </c>
      <c r="G48" t="str">
        <f>IF(F48="","",_xlfn.RANK.EQ(F48,$F$38:$F$60,1)+COUNTIF($F$38:F70,F48)-1)</f>
        <v/>
      </c>
      <c r="H48" s="19" t="str">
        <f t="shared" si="38"/>
        <v/>
      </c>
      <c r="I48" s="18" t="str">
        <f t="shared" si="39"/>
        <v/>
      </c>
      <c r="J48" s="17" t="str">
        <f t="shared" si="40"/>
        <v/>
      </c>
      <c r="K48" s="16" t="str">
        <f t="shared" si="41"/>
        <v>~</v>
      </c>
    </row>
    <row r="49" spans="1:11" x14ac:dyDescent="0.25">
      <c r="B49" t="s">
        <v>157</v>
      </c>
      <c r="C49" t="s">
        <v>156</v>
      </c>
      <c r="E49" s="30"/>
      <c r="F49" s="29" t="str">
        <f t="shared" si="37"/>
        <v/>
      </c>
      <c r="G49" t="str">
        <f>IF(F49="","",_xlfn.RANK.EQ(F49,$F$38:$F$60,1)+COUNTIF($F$38:F71,F49)-1)</f>
        <v/>
      </c>
      <c r="H49" s="19" t="str">
        <f t="shared" si="38"/>
        <v/>
      </c>
      <c r="I49" s="18" t="str">
        <f t="shared" si="39"/>
        <v/>
      </c>
      <c r="J49" s="17" t="str">
        <f t="shared" si="40"/>
        <v/>
      </c>
      <c r="K49" s="16" t="str">
        <f t="shared" si="41"/>
        <v>~</v>
      </c>
    </row>
    <row r="50" spans="1:11" x14ac:dyDescent="0.25">
      <c r="A50">
        <v>10</v>
      </c>
      <c r="B50" t="s">
        <v>102</v>
      </c>
      <c r="C50" t="s">
        <v>103</v>
      </c>
      <c r="D50">
        <f>VLOOKUP(C50,Lookups!$E$2:$F$47,2,FALSE)</f>
        <v>0.92</v>
      </c>
      <c r="E50" s="30"/>
      <c r="F50" s="29" t="str">
        <f t="shared" si="37"/>
        <v/>
      </c>
      <c r="G50" t="str">
        <f>IF(F50="","",_xlfn.RANK.EQ(F50,$F$38:$F$60,1)+COUNTIF($F$38:F72,F50)-1)</f>
        <v/>
      </c>
      <c r="H50" s="19" t="str">
        <f t="shared" si="38"/>
        <v/>
      </c>
      <c r="I50" s="18" t="str">
        <f t="shared" si="39"/>
        <v/>
      </c>
      <c r="J50" s="17" t="str">
        <f t="shared" si="40"/>
        <v/>
      </c>
      <c r="K50" s="16" t="str">
        <f t="shared" si="41"/>
        <v>~</v>
      </c>
    </row>
    <row r="51" spans="1:11" x14ac:dyDescent="0.25">
      <c r="A51">
        <v>11</v>
      </c>
      <c r="B51" t="s">
        <v>106</v>
      </c>
      <c r="C51" t="s">
        <v>107</v>
      </c>
      <c r="D51">
        <f>VLOOKUP(C51,Lookups!$E$2:$F$47,2,FALSE)</f>
        <v>0.92</v>
      </c>
      <c r="E51" s="30"/>
      <c r="F51" s="29" t="str">
        <f t="shared" si="37"/>
        <v/>
      </c>
      <c r="G51" t="str">
        <f>IF(F51="","",_xlfn.RANK.EQ(F51,$F$38:$F$60,1)+COUNTIF($F$38:F73,F51)-1)</f>
        <v/>
      </c>
      <c r="H51" s="19" t="str">
        <f t="shared" si="38"/>
        <v/>
      </c>
      <c r="I51" s="18" t="str">
        <f t="shared" si="39"/>
        <v/>
      </c>
      <c r="J51" s="17" t="str">
        <f t="shared" si="40"/>
        <v/>
      </c>
      <c r="K51" s="16" t="str">
        <f t="shared" si="41"/>
        <v>~</v>
      </c>
    </row>
    <row r="52" spans="1:11" x14ac:dyDescent="0.25">
      <c r="A52">
        <v>12</v>
      </c>
      <c r="B52" t="s">
        <v>42</v>
      </c>
      <c r="C52" t="s">
        <v>43</v>
      </c>
      <c r="D52">
        <f>VLOOKUP(C52,Lookups!$E$2:$F$47,2,FALSE)</f>
        <v>0.64</v>
      </c>
      <c r="E52" s="30"/>
      <c r="F52" s="29" t="str">
        <f t="shared" si="37"/>
        <v/>
      </c>
      <c r="G52" t="str">
        <f>IF(F52="","",_xlfn.RANK.EQ(F52,$F$38:$F$60,1)+COUNTIF($F$38:F74,F52)-1)</f>
        <v/>
      </c>
      <c r="H52" s="19" t="str">
        <f t="shared" si="38"/>
        <v/>
      </c>
      <c r="I52" s="18" t="str">
        <f t="shared" si="39"/>
        <v/>
      </c>
      <c r="J52" s="17" t="str">
        <f t="shared" si="40"/>
        <v/>
      </c>
      <c r="K52" s="16" t="str">
        <f t="shared" si="41"/>
        <v>~</v>
      </c>
    </row>
    <row r="53" spans="1:11" x14ac:dyDescent="0.25">
      <c r="A53">
        <v>13</v>
      </c>
      <c r="B53" t="s">
        <v>124</v>
      </c>
      <c r="C53" t="s">
        <v>34</v>
      </c>
      <c r="D53">
        <f>VLOOKUP(C53,Lookups!$E$2:$F$47,2,FALSE)</f>
        <v>0.8</v>
      </c>
      <c r="E53" s="30">
        <v>7.1898148148148142E-2</v>
      </c>
      <c r="F53" s="29">
        <f t="shared" si="37"/>
        <v>5.7518518518518517E-2</v>
      </c>
      <c r="G53">
        <f>IF(F53="","",_xlfn.RANK.EQ(F53,$F$38:$F$60,1)+COUNTIF($F$38:F75,F53)-1)</f>
        <v>3</v>
      </c>
      <c r="H53" s="19">
        <f t="shared" si="38"/>
        <v>719.09284264168969</v>
      </c>
      <c r="I53" s="18">
        <f t="shared" si="39"/>
        <v>869.1242755956215</v>
      </c>
      <c r="J53" s="17">
        <f t="shared" si="40"/>
        <v>984.94165586219674</v>
      </c>
      <c r="K53" s="16">
        <f t="shared" si="41"/>
        <v>990</v>
      </c>
    </row>
    <row r="54" spans="1:11" x14ac:dyDescent="0.25">
      <c r="A54">
        <v>14</v>
      </c>
      <c r="B54" t="s">
        <v>115</v>
      </c>
      <c r="C54" t="s">
        <v>47</v>
      </c>
      <c r="D54">
        <f>VLOOKUP(C54,Lookups!$E$2:$F$47,2,FALSE)</f>
        <v>0.8</v>
      </c>
      <c r="E54" s="30"/>
      <c r="F54" s="29" t="str">
        <f t="shared" si="36"/>
        <v/>
      </c>
      <c r="G54" t="str">
        <f>IF(F54="","",_xlfn.RANK.EQ(F54,$F$38:$F$60,1)+COUNTIF($F$38:F76,F54)-1)</f>
        <v/>
      </c>
      <c r="H54" s="19" t="str">
        <f t="shared" si="32"/>
        <v/>
      </c>
      <c r="I54" s="18" t="str">
        <f t="shared" si="33"/>
        <v/>
      </c>
      <c r="J54" s="17" t="str">
        <f t="shared" si="34"/>
        <v/>
      </c>
      <c r="K54" s="16" t="str">
        <f t="shared" si="35"/>
        <v>~</v>
      </c>
    </row>
    <row r="55" spans="1:11" x14ac:dyDescent="0.25">
      <c r="A55">
        <v>15</v>
      </c>
      <c r="B55" t="s">
        <v>111</v>
      </c>
      <c r="C55" t="s">
        <v>39</v>
      </c>
      <c r="D55">
        <f>VLOOKUP(C55,Lookups!$E$2:$F$47,2,FALSE)</f>
        <v>0.9</v>
      </c>
      <c r="E55" s="30">
        <v>5.6608796296296303E-2</v>
      </c>
      <c r="F55" s="29">
        <f t="shared" si="36"/>
        <v>5.0947916666666676E-2</v>
      </c>
      <c r="G55">
        <f>IF(F55="","",_xlfn.RANK.EQ(F55,$F$38:$F$60,1)+COUNTIF($F$38:F77,F55)-1)</f>
        <v>2</v>
      </c>
      <c r="H55" s="19">
        <f t="shared" si="32"/>
        <v>1111.84629449042</v>
      </c>
      <c r="I55" s="18">
        <f t="shared" si="33"/>
        <v>981.21265817033554</v>
      </c>
      <c r="J55" s="17">
        <f t="shared" si="34"/>
        <v>998.08529357288387</v>
      </c>
      <c r="K55" s="16">
        <f t="shared" si="35"/>
        <v>999</v>
      </c>
    </row>
    <row r="56" spans="1:11" x14ac:dyDescent="0.25">
      <c r="A56">
        <v>16</v>
      </c>
      <c r="B56" t="s">
        <v>6</v>
      </c>
      <c r="C56" t="s">
        <v>19</v>
      </c>
      <c r="D56">
        <f>VLOOKUP(C56,Lookups!$E$2:$F$47,2,FALSE)</f>
        <v>0.63</v>
      </c>
      <c r="E56" s="30"/>
      <c r="F56" s="29" t="str">
        <f t="shared" si="36"/>
        <v/>
      </c>
      <c r="G56" t="str">
        <f>IF(F56="","",_xlfn.RANK.EQ(F56,$F$38:$F$60,1)+COUNTIF($F$38:F78,F56)-1)</f>
        <v/>
      </c>
      <c r="H56" s="19" t="str">
        <f t="shared" si="32"/>
        <v/>
      </c>
      <c r="I56" s="18" t="str">
        <f t="shared" si="33"/>
        <v/>
      </c>
      <c r="J56" s="17" t="str">
        <f t="shared" si="34"/>
        <v/>
      </c>
      <c r="K56" s="16" t="str">
        <f t="shared" si="35"/>
        <v>~</v>
      </c>
    </row>
    <row r="57" spans="1:11" x14ac:dyDescent="0.25">
      <c r="A57">
        <v>17</v>
      </c>
      <c r="B57" t="s">
        <v>118</v>
      </c>
      <c r="C57" t="s">
        <v>47</v>
      </c>
      <c r="D57">
        <f>VLOOKUP(C57,Lookups!$E$2:$F$47,2,FALSE)</f>
        <v>0.8</v>
      </c>
      <c r="E57" s="30"/>
      <c r="F57" s="29" t="str">
        <f t="shared" si="36"/>
        <v/>
      </c>
      <c r="G57" t="str">
        <f>IF(F57="","",_xlfn.RANK.EQ(F57,$F$38:$F$60,1)+COUNTIF($F$38:F79,F57)-1)</f>
        <v/>
      </c>
      <c r="H57" s="19" t="str">
        <f t="shared" si="32"/>
        <v/>
      </c>
      <c r="I57" s="18" t="str">
        <f t="shared" si="33"/>
        <v/>
      </c>
      <c r="J57" s="17" t="str">
        <f t="shared" si="34"/>
        <v/>
      </c>
      <c r="K57" s="16" t="str">
        <f t="shared" si="35"/>
        <v>~</v>
      </c>
    </row>
    <row r="58" spans="1:11" x14ac:dyDescent="0.25">
      <c r="A58">
        <v>18</v>
      </c>
      <c r="B58" t="s">
        <v>58</v>
      </c>
      <c r="C58" t="s">
        <v>59</v>
      </c>
      <c r="D58">
        <f>VLOOKUP(C58,Lookups!$E$2:$F$47,2,FALSE)</f>
        <v>0.77</v>
      </c>
      <c r="E58" s="30"/>
      <c r="F58" s="29" t="str">
        <f t="shared" si="36"/>
        <v/>
      </c>
      <c r="G58" t="str">
        <f>IF(F58="","",_xlfn.RANK.EQ(F58,$F$38:$F$60,1)+COUNTIF($F$38:F80,F58)-1)</f>
        <v/>
      </c>
      <c r="H58" s="19" t="str">
        <f t="shared" si="32"/>
        <v/>
      </c>
      <c r="I58" s="18" t="str">
        <f t="shared" si="33"/>
        <v/>
      </c>
      <c r="J58" s="17" t="str">
        <f t="shared" si="34"/>
        <v/>
      </c>
      <c r="K58" s="16" t="str">
        <f t="shared" si="35"/>
        <v>~</v>
      </c>
    </row>
    <row r="59" spans="1:11" x14ac:dyDescent="0.25">
      <c r="A59">
        <v>19</v>
      </c>
      <c r="B59" t="s">
        <v>41</v>
      </c>
      <c r="C59" t="s">
        <v>17</v>
      </c>
      <c r="D59">
        <f>VLOOKUP(C59,Lookups!$E$2:$F$47,2,FALSE)</f>
        <v>0.7</v>
      </c>
      <c r="E59" s="30"/>
      <c r="F59" s="29" t="str">
        <f t="shared" si="36"/>
        <v/>
      </c>
      <c r="G59" t="str">
        <f>IF(F59="","",_xlfn.RANK.EQ(F59,$F$38:$F$60,1)+COUNTIF($F$38:F81,F59)-1)</f>
        <v/>
      </c>
      <c r="H59" s="19" t="str">
        <f t="shared" si="32"/>
        <v/>
      </c>
      <c r="I59" s="18" t="str">
        <f t="shared" si="33"/>
        <v/>
      </c>
      <c r="J59" s="17" t="str">
        <f t="shared" si="34"/>
        <v/>
      </c>
      <c r="K59" s="16" t="str">
        <f t="shared" si="35"/>
        <v>~</v>
      </c>
    </row>
    <row r="60" spans="1:11" x14ac:dyDescent="0.25">
      <c r="A60">
        <v>19</v>
      </c>
      <c r="B60" t="s">
        <v>76</v>
      </c>
      <c r="C60" t="s">
        <v>19</v>
      </c>
      <c r="D60">
        <f>VLOOKUP(C60,Lookups!$E$2:$F$47,2,FALSE)</f>
        <v>0.63</v>
      </c>
      <c r="E60" s="30"/>
      <c r="F60" s="29" t="str">
        <f t="shared" si="36"/>
        <v/>
      </c>
      <c r="G60" t="str">
        <f>IF(F60="","",_xlfn.RANK.EQ(F60,$F$38:$F$60,1)+COUNTIF($F$38:F81,F60)-1)</f>
        <v/>
      </c>
      <c r="H60" s="19" t="str">
        <f t="shared" si="32"/>
        <v/>
      </c>
      <c r="I60" s="18" t="str">
        <f t="shared" si="33"/>
        <v/>
      </c>
      <c r="J60" s="17" t="str">
        <f t="shared" si="34"/>
        <v/>
      </c>
      <c r="K60" s="16" t="str">
        <f t="shared" si="35"/>
        <v>~</v>
      </c>
    </row>
    <row r="61" spans="1:11" x14ac:dyDescent="0.25">
      <c r="E61" s="26"/>
    </row>
    <row r="62" spans="1:11" x14ac:dyDescent="0.25">
      <c r="A62" t="s">
        <v>64</v>
      </c>
      <c r="E62" s="26"/>
    </row>
    <row r="63" spans="1:11" ht="30" x14ac:dyDescent="0.25">
      <c r="A63" t="s">
        <v>8</v>
      </c>
      <c r="B63" t="s">
        <v>9</v>
      </c>
      <c r="C63" t="s">
        <v>10</v>
      </c>
      <c r="E63" s="27" t="s">
        <v>95</v>
      </c>
      <c r="F63" s="24" t="s">
        <v>94</v>
      </c>
      <c r="G63" s="24" t="s">
        <v>8</v>
      </c>
      <c r="H63" s="23" t="s">
        <v>93</v>
      </c>
      <c r="I63" s="22" t="s">
        <v>92</v>
      </c>
      <c r="J63" s="21" t="s">
        <v>91</v>
      </c>
      <c r="K63" s="20" t="s">
        <v>90</v>
      </c>
    </row>
    <row r="64" spans="1:11" x14ac:dyDescent="0.25">
      <c r="A64">
        <v>1</v>
      </c>
      <c r="B64" t="s">
        <v>57</v>
      </c>
      <c r="C64" t="s">
        <v>49</v>
      </c>
      <c r="D64">
        <f>VLOOKUP(C64,Lookups!$E$2:$F$47,2,FALSE)</f>
        <v>0.7</v>
      </c>
      <c r="E64" s="30">
        <v>1.3587962962962963E-2</v>
      </c>
      <c r="F64" s="29">
        <f>IF(E64="","",E64*D64)</f>
        <v>9.5115740740740733E-3</v>
      </c>
      <c r="G64">
        <f>IF(F64="","",_xlfn.RANK.EQ(F64,$F$64:$F$80,1)+COUNTIF($F$64:F80,F64)-1)</f>
        <v>1</v>
      </c>
      <c r="H64" s="19">
        <f>IFERROR((1000+200*(AVERAGE($F$64:$F$80)-F64)/_xlfn.STDEV.P($F$64:$F$80)),"")</f>
        <v>1169.8584016183695</v>
      </c>
      <c r="I64" s="18">
        <f>IFERROR(((1000*SMALL($F$64:$F$80,1)/F64)),"")</f>
        <v>999.99999999999989</v>
      </c>
      <c r="J64" s="17">
        <f>IF(E64="","",IF(F64&gt;=2*SMALL($F$64:$F$80,1),0,1000-((F64-SMALL($F$64:$F$80,1))/SMALL($F$64:$F$80,1)*100)))</f>
        <v>1000</v>
      </c>
      <c r="K64" s="16">
        <f>IFERROR((1000-MINUTE(F64-SMALL($F$64:$F$80,1))),"~")</f>
        <v>1000</v>
      </c>
    </row>
    <row r="65" spans="1:11" x14ac:dyDescent="0.25">
      <c r="A65">
        <v>2</v>
      </c>
      <c r="B65" t="s">
        <v>65</v>
      </c>
      <c r="C65" t="s">
        <v>108</v>
      </c>
      <c r="D65">
        <f>VLOOKUP(C65,Lookups!$E$2:$F$47,2,FALSE)</f>
        <v>0.65</v>
      </c>
      <c r="E65" s="30">
        <v>2.0011574074074074E-2</v>
      </c>
      <c r="F65" s="29">
        <f t="shared" ref="F65:F80" si="42">IF(E65="","",E65*D65)</f>
        <v>1.3007523148148148E-2</v>
      </c>
      <c r="G65">
        <f>IF(F65="","",_xlfn.RANK.EQ(F65,$F$64:$F$80,1)+COUNTIF($F$64:F81,F65)-1)</f>
        <v>3</v>
      </c>
      <c r="H65" s="19">
        <f t="shared" ref="H65:H80" si="43">IFERROR((1000+200*(AVERAGE($F$64:$F$80)-F65)/_xlfn.STDEV.P($F$64:$F$80)),"")</f>
        <v>1085.6522916804036</v>
      </c>
      <c r="I65" s="18">
        <f t="shared" ref="I65:I80" si="44">IFERROR(((1000*SMALL($F$64:$F$80,1)/F65)),"")</f>
        <v>731.23637496107119</v>
      </c>
      <c r="J65" s="17">
        <f t="shared" ref="J65:J80" si="45">IF(E65="","",IF(F65&gt;=2*SMALL($F$64:$F$80,1),0,1000-((F65-SMALL($F$64:$F$80,1))/SMALL($F$64:$F$80,1)*100)))</f>
        <v>963.24531516183981</v>
      </c>
      <c r="K65" s="16">
        <f t="shared" ref="K65:K80" si="46">IFERROR((1000-MINUTE(F65-SMALL($F$64:$F$80,1))),"~")</f>
        <v>995</v>
      </c>
    </row>
    <row r="66" spans="1:11" x14ac:dyDescent="0.25">
      <c r="A66">
        <v>3</v>
      </c>
      <c r="B66" t="s">
        <v>125</v>
      </c>
      <c r="C66" t="s">
        <v>34</v>
      </c>
      <c r="D66">
        <f>VLOOKUP(C66,Lookups!$E$2:$F$47,2,FALSE)</f>
        <v>0.8</v>
      </c>
      <c r="E66" s="30">
        <v>3.8414351851851852E-2</v>
      </c>
      <c r="F66" s="29">
        <f t="shared" si="42"/>
        <v>3.0731481481481485E-2</v>
      </c>
      <c r="G66">
        <f>IF(F66="","",_xlfn.RANK.EQ(F66,$F$64:$F$80,1)+COUNTIF($F$64:F82,F66)-1)</f>
        <v>4</v>
      </c>
      <c r="H66" s="19">
        <f t="shared" si="43"/>
        <v>658.7394413129</v>
      </c>
      <c r="I66" s="18">
        <f t="shared" si="44"/>
        <v>309.50587526363353</v>
      </c>
      <c r="J66" s="17">
        <f t="shared" si="45"/>
        <v>0</v>
      </c>
      <c r="K66" s="16">
        <f t="shared" si="46"/>
        <v>970</v>
      </c>
    </row>
    <row r="67" spans="1:11" x14ac:dyDescent="0.25">
      <c r="A67">
        <v>4</v>
      </c>
      <c r="B67" t="s">
        <v>111</v>
      </c>
      <c r="C67" t="s">
        <v>39</v>
      </c>
      <c r="D67">
        <f>VLOOKUP(C67,Lookups!$E$2:$F$47,2,FALSE)</f>
        <v>0.9</v>
      </c>
      <c r="E67" s="30"/>
      <c r="F67" s="29" t="str">
        <f t="shared" si="42"/>
        <v/>
      </c>
      <c r="G67" t="str">
        <f>IF(F67="","",_xlfn.RANK.EQ(F67,$F$64:$F$80,1)+COUNTIF($F$64:F83,F67)-1)</f>
        <v/>
      </c>
      <c r="H67" s="19" t="str">
        <f t="shared" si="43"/>
        <v/>
      </c>
      <c r="I67" s="18" t="str">
        <f t="shared" si="44"/>
        <v/>
      </c>
      <c r="J67" s="17" t="str">
        <f t="shared" si="45"/>
        <v/>
      </c>
      <c r="K67" s="16" t="str">
        <f t="shared" si="46"/>
        <v>~</v>
      </c>
    </row>
    <row r="68" spans="1:11" x14ac:dyDescent="0.25">
      <c r="A68">
        <v>5</v>
      </c>
      <c r="B68" t="s">
        <v>44</v>
      </c>
      <c r="C68" t="s">
        <v>45</v>
      </c>
      <c r="D68">
        <f>VLOOKUP(C68,Lookups!$E$2:$F$47,2,FALSE)</f>
        <v>0.67</v>
      </c>
      <c r="E68" s="30"/>
      <c r="F68" s="29" t="str">
        <f t="shared" si="42"/>
        <v/>
      </c>
      <c r="G68" t="str">
        <f>IF(F68="","",_xlfn.RANK.EQ(F68,$F$64:$F$80,1)+COUNTIF($F$64:F84,F68)-1)</f>
        <v/>
      </c>
      <c r="H68" s="19" t="str">
        <f t="shared" si="43"/>
        <v/>
      </c>
      <c r="I68" s="18" t="str">
        <f t="shared" si="44"/>
        <v/>
      </c>
      <c r="J68" s="17" t="str">
        <f t="shared" si="45"/>
        <v/>
      </c>
      <c r="K68" s="16" t="str">
        <f t="shared" si="46"/>
        <v>~</v>
      </c>
    </row>
    <row r="69" spans="1:11" x14ac:dyDescent="0.25">
      <c r="A69">
        <v>6</v>
      </c>
      <c r="B69" t="s">
        <v>67</v>
      </c>
      <c r="C69" t="s">
        <v>34</v>
      </c>
      <c r="D69">
        <f>VLOOKUP(C69,Lookups!$E$2:$F$47,2,FALSE)</f>
        <v>0.8</v>
      </c>
      <c r="E69" s="30"/>
      <c r="F69" s="29" t="str">
        <f t="shared" si="42"/>
        <v/>
      </c>
      <c r="G69" t="str">
        <f>IF(F69="","",_xlfn.RANK.EQ(F69,$F$64:$F$80,1)+COUNTIF($F$64:F85,F69)-1)</f>
        <v/>
      </c>
      <c r="H69" s="19" t="str">
        <f t="shared" si="43"/>
        <v/>
      </c>
      <c r="I69" s="18" t="str">
        <f t="shared" si="44"/>
        <v/>
      </c>
      <c r="J69" s="17" t="str">
        <f t="shared" si="45"/>
        <v/>
      </c>
      <c r="K69" s="16" t="str">
        <f t="shared" si="46"/>
        <v>~</v>
      </c>
    </row>
    <row r="70" spans="1:11" x14ac:dyDescent="0.25">
      <c r="B70" t="s">
        <v>58</v>
      </c>
      <c r="C70" t="s">
        <v>59</v>
      </c>
      <c r="D70">
        <f>VLOOKUP(C70,Lookups!$E$2:$F$47,2,FALSE)</f>
        <v>0.77</v>
      </c>
      <c r="E70" s="30"/>
      <c r="F70" s="29" t="str">
        <f t="shared" ref="F70:F72" si="47">IF(E70="","",E70*D70)</f>
        <v/>
      </c>
      <c r="G70" t="str">
        <f>IF(F70="","",_xlfn.RANK.EQ(F70,$F$64:$F$80,1)+COUNTIF($F$64:F86,F70)-1)</f>
        <v/>
      </c>
      <c r="H70" s="19" t="str">
        <f t="shared" ref="H70:H72" si="48">IFERROR((1000+200*(AVERAGE($F$64:$F$80)-F70)/_xlfn.STDEV.P($F$64:$F$80)),"")</f>
        <v/>
      </c>
      <c r="I70" s="18" t="str">
        <f t="shared" ref="I70:I72" si="49">IFERROR(((1000*SMALL($F$64:$F$80,1)/F70)),"")</f>
        <v/>
      </c>
      <c r="J70" s="17" t="str">
        <f t="shared" ref="J70:J72" si="50">IF(E70="","",IF(F70&gt;=2*SMALL($F$64:$F$80,1),0,1000-((F70-SMALL($F$64:$F$80,1))/SMALL($F$64:$F$80,1)*100)))</f>
        <v/>
      </c>
      <c r="K70" s="16" t="str">
        <f t="shared" ref="K70:K72" si="51">IFERROR((1000-MINUTE(F70-SMALL($F$64:$F$80,1))),"~")</f>
        <v>~</v>
      </c>
    </row>
    <row r="71" spans="1:11" x14ac:dyDescent="0.25">
      <c r="B71" t="s">
        <v>112</v>
      </c>
      <c r="C71" t="s">
        <v>17</v>
      </c>
      <c r="D71">
        <f>VLOOKUP(C71,Lookups!$E$2:$F$47,2,FALSE)</f>
        <v>0.7</v>
      </c>
      <c r="E71" s="30"/>
      <c r="F71" s="29" t="str">
        <f t="shared" si="47"/>
        <v/>
      </c>
      <c r="G71" t="str">
        <f>IF(F71="","",_xlfn.RANK.EQ(F71,$F$64:$F$80,1)+COUNTIF($F$64:F87,F71)-1)</f>
        <v/>
      </c>
      <c r="H71" s="19" t="str">
        <f t="shared" si="48"/>
        <v/>
      </c>
      <c r="I71" s="18" t="str">
        <f t="shared" si="49"/>
        <v/>
      </c>
      <c r="J71" s="17" t="str">
        <f t="shared" si="50"/>
        <v/>
      </c>
      <c r="K71" s="16" t="str">
        <f t="shared" si="51"/>
        <v>~</v>
      </c>
    </row>
    <row r="72" spans="1:11" x14ac:dyDescent="0.25">
      <c r="B72" t="s">
        <v>113</v>
      </c>
      <c r="C72" t="s">
        <v>47</v>
      </c>
      <c r="D72">
        <f>VLOOKUP(C72,Lookups!$E$2:$F$47,2,FALSE)</f>
        <v>0.8</v>
      </c>
      <c r="E72" s="30"/>
      <c r="F72" s="29" t="str">
        <f t="shared" si="47"/>
        <v/>
      </c>
      <c r="G72" t="str">
        <f>IF(F72="","",_xlfn.RANK.EQ(F72,$F$64:$F$80,1)+COUNTIF($F$64:F88,F72)-1)</f>
        <v/>
      </c>
      <c r="H72" s="19" t="str">
        <f t="shared" si="48"/>
        <v/>
      </c>
      <c r="I72" s="18" t="str">
        <f t="shared" si="49"/>
        <v/>
      </c>
      <c r="J72" s="17" t="str">
        <f t="shared" si="50"/>
        <v/>
      </c>
      <c r="K72" s="16" t="str">
        <f t="shared" si="51"/>
        <v>~</v>
      </c>
    </row>
    <row r="73" spans="1:11" x14ac:dyDescent="0.25">
      <c r="A73">
        <v>7</v>
      </c>
      <c r="B73" t="s">
        <v>71</v>
      </c>
      <c r="C73" t="s">
        <v>72</v>
      </c>
      <c r="D73">
        <f>VLOOKUP(C73,Lookups!$E$2:$F$47,2,FALSE)</f>
        <v>0.6</v>
      </c>
      <c r="E73" s="30"/>
      <c r="F73" s="29" t="str">
        <f t="shared" si="42"/>
        <v/>
      </c>
      <c r="G73" t="str">
        <f>IF(F73="","",_xlfn.RANK.EQ(F73,$F$64:$F$80,1)+COUNTIF($F$64:F86,F73)-1)</f>
        <v/>
      </c>
      <c r="H73" s="19" t="str">
        <f t="shared" si="43"/>
        <v/>
      </c>
      <c r="I73" s="18" t="str">
        <f t="shared" si="44"/>
        <v/>
      </c>
      <c r="J73" s="17" t="str">
        <f t="shared" si="45"/>
        <v/>
      </c>
      <c r="K73" s="16" t="str">
        <f t="shared" si="46"/>
        <v>~</v>
      </c>
    </row>
    <row r="74" spans="1:11" x14ac:dyDescent="0.25">
      <c r="A74">
        <v>8</v>
      </c>
      <c r="B74" t="s">
        <v>62</v>
      </c>
      <c r="C74" t="s">
        <v>63</v>
      </c>
      <c r="D74">
        <f>VLOOKUP(C74,Lookups!$E$2:$F$47,2,FALSE)</f>
        <v>0.62</v>
      </c>
      <c r="E74" s="30"/>
      <c r="F74" s="29" t="str">
        <f t="shared" si="42"/>
        <v/>
      </c>
      <c r="G74" t="str">
        <f>IF(F74="","",_xlfn.RANK.EQ(F74,$F$64:$F$80,1)+COUNTIF($F$64:F87,F74)-1)</f>
        <v/>
      </c>
      <c r="H74" s="19" t="str">
        <f t="shared" si="43"/>
        <v/>
      </c>
      <c r="I74" s="18" t="str">
        <f t="shared" si="44"/>
        <v/>
      </c>
      <c r="J74" s="17" t="str">
        <f t="shared" si="45"/>
        <v/>
      </c>
      <c r="K74" s="16" t="str">
        <f t="shared" si="46"/>
        <v>~</v>
      </c>
    </row>
    <row r="75" spans="1:11" x14ac:dyDescent="0.25">
      <c r="A75">
        <v>9</v>
      </c>
      <c r="B75" t="s">
        <v>119</v>
      </c>
      <c r="C75" t="s">
        <v>47</v>
      </c>
      <c r="D75">
        <f>VLOOKUP(C75,Lookups!$E$2:$F$47,2,FALSE)</f>
        <v>0.8</v>
      </c>
      <c r="E75" s="30"/>
      <c r="F75" s="29" t="str">
        <f t="shared" si="42"/>
        <v/>
      </c>
      <c r="G75" t="str">
        <f>IF(F75="","",_xlfn.RANK.EQ(F75,$F$64:$F$80,1)+COUNTIF($F$64:F88,F75)-1)</f>
        <v/>
      </c>
      <c r="H75" s="19" t="str">
        <f t="shared" si="43"/>
        <v/>
      </c>
      <c r="I75" s="18" t="str">
        <f t="shared" si="44"/>
        <v/>
      </c>
      <c r="J75" s="17" t="str">
        <f t="shared" si="45"/>
        <v/>
      </c>
      <c r="K75" s="16" t="str">
        <f t="shared" si="46"/>
        <v>~</v>
      </c>
    </row>
    <row r="76" spans="1:11" x14ac:dyDescent="0.25">
      <c r="A76">
        <v>10</v>
      </c>
      <c r="B76" t="s">
        <v>75</v>
      </c>
      <c r="C76" t="s">
        <v>21</v>
      </c>
      <c r="D76">
        <f>VLOOKUP(C76,Lookups!$E$2:$F$47,2,FALSE)</f>
        <v>0.84</v>
      </c>
      <c r="E76" s="30"/>
      <c r="F76" s="29" t="str">
        <f t="shared" si="42"/>
        <v/>
      </c>
      <c r="G76" t="str">
        <f>IF(F76="","",_xlfn.RANK.EQ(F76,$F$64:$F$80,1)+COUNTIF($F$64:F91,F76)-1)</f>
        <v/>
      </c>
      <c r="H76" s="19" t="str">
        <f t="shared" si="43"/>
        <v/>
      </c>
      <c r="I76" s="18" t="str">
        <f t="shared" si="44"/>
        <v/>
      </c>
      <c r="J76" s="17" t="str">
        <f t="shared" si="45"/>
        <v/>
      </c>
      <c r="K76" s="16" t="str">
        <f t="shared" si="46"/>
        <v>~</v>
      </c>
    </row>
    <row r="77" spans="1:11" x14ac:dyDescent="0.25">
      <c r="A77">
        <v>11</v>
      </c>
      <c r="B77" t="s">
        <v>76</v>
      </c>
      <c r="C77" t="s">
        <v>19</v>
      </c>
      <c r="D77">
        <f>VLOOKUP(C77,Lookups!$E$2:$F$47,2,FALSE)</f>
        <v>0.63</v>
      </c>
      <c r="E77" s="30"/>
      <c r="F77" s="29" t="str">
        <f t="shared" si="42"/>
        <v/>
      </c>
      <c r="G77" t="str">
        <f>IF(F77="","",_xlfn.RANK.EQ(F77,$F$64:$F$80,1)+COUNTIF($F$64:F92,F77)-1)</f>
        <v/>
      </c>
      <c r="H77" s="19" t="str">
        <f t="shared" si="43"/>
        <v/>
      </c>
      <c r="I77" s="18" t="str">
        <f t="shared" si="44"/>
        <v/>
      </c>
      <c r="J77" s="17" t="str">
        <f t="shared" si="45"/>
        <v/>
      </c>
      <c r="K77" s="16" t="str">
        <f t="shared" si="46"/>
        <v>~</v>
      </c>
    </row>
    <row r="78" spans="1:11" x14ac:dyDescent="0.25">
      <c r="A78">
        <v>12</v>
      </c>
      <c r="B78" t="s">
        <v>77</v>
      </c>
      <c r="C78" t="s">
        <v>49</v>
      </c>
      <c r="D78">
        <f>VLOOKUP(C78,Lookups!$E$2:$F$47,2,FALSE)</f>
        <v>0.7</v>
      </c>
      <c r="E78" s="30">
        <v>1.8576388888888889E-2</v>
      </c>
      <c r="F78" s="29">
        <f t="shared" si="42"/>
        <v>1.3003472222222222E-2</v>
      </c>
      <c r="G78">
        <f>IF(F78="","",_xlfn.RANK.EQ(F78,$F$64:$F$80,1)+COUNTIF($F$64:F93,F78)-1)</f>
        <v>2</v>
      </c>
      <c r="H78" s="19">
        <f t="shared" si="43"/>
        <v>1085.749865388327</v>
      </c>
      <c r="I78" s="18">
        <f t="shared" si="44"/>
        <v>731.46417445482859</v>
      </c>
      <c r="J78" s="17">
        <f t="shared" si="45"/>
        <v>963.28790459965933</v>
      </c>
      <c r="K78" s="16">
        <f t="shared" si="46"/>
        <v>995</v>
      </c>
    </row>
    <row r="79" spans="1:11" x14ac:dyDescent="0.25">
      <c r="A79">
        <v>13</v>
      </c>
      <c r="B79" t="s">
        <v>69</v>
      </c>
      <c r="C79" t="s">
        <v>70</v>
      </c>
      <c r="D79">
        <f>VLOOKUP(C79,Lookups!$E$2:$F$47,2,FALSE)</f>
        <v>0.71</v>
      </c>
      <c r="E79" s="30"/>
      <c r="F79" s="29" t="str">
        <f t="shared" si="42"/>
        <v/>
      </c>
      <c r="G79" t="str">
        <f>IF(F79="","",_xlfn.RANK.EQ(F79,$F$64:$F$80,1)+COUNTIF($F$64:F94,F79)-1)</f>
        <v/>
      </c>
      <c r="H79" s="19" t="str">
        <f t="shared" si="43"/>
        <v/>
      </c>
      <c r="I79" s="18" t="str">
        <f t="shared" si="44"/>
        <v/>
      </c>
      <c r="J79" s="17" t="str">
        <f t="shared" si="45"/>
        <v/>
      </c>
      <c r="K79" s="16" t="str">
        <f t="shared" si="46"/>
        <v>~</v>
      </c>
    </row>
    <row r="80" spans="1:11" x14ac:dyDescent="0.25">
      <c r="A80">
        <v>14</v>
      </c>
      <c r="B80" t="s">
        <v>79</v>
      </c>
      <c r="C80" t="s">
        <v>80</v>
      </c>
      <c r="D80">
        <f>VLOOKUP(C80,Lookups!$E$2:$F$47,2,FALSE)</f>
        <v>0.53</v>
      </c>
      <c r="E80" s="30"/>
      <c r="F80" s="29" t="str">
        <f t="shared" si="42"/>
        <v/>
      </c>
      <c r="G80" t="str">
        <f>IF(F80="","",_xlfn.RANK.EQ(F80,$F$64:$F$80,1)+COUNTIF($F$64:F95,F80)-1)</f>
        <v/>
      </c>
      <c r="H80" s="19" t="str">
        <f t="shared" si="43"/>
        <v/>
      </c>
      <c r="I80" s="18" t="str">
        <f t="shared" si="44"/>
        <v/>
      </c>
      <c r="J80" s="17" t="str">
        <f t="shared" si="45"/>
        <v/>
      </c>
      <c r="K80" s="16" t="str">
        <f t="shared" si="46"/>
        <v>~</v>
      </c>
    </row>
    <row r="81" spans="1:11" x14ac:dyDescent="0.25">
      <c r="E81" s="26"/>
    </row>
    <row r="82" spans="1:11" x14ac:dyDescent="0.25">
      <c r="A82" t="s">
        <v>81</v>
      </c>
      <c r="E82" s="26"/>
    </row>
    <row r="83" spans="1:11" ht="30" x14ac:dyDescent="0.25">
      <c r="A83" t="s">
        <v>8</v>
      </c>
      <c r="B83" t="s">
        <v>9</v>
      </c>
      <c r="C83" t="s">
        <v>10</v>
      </c>
      <c r="D83" t="s">
        <v>54</v>
      </c>
      <c r="E83" s="27" t="s">
        <v>95</v>
      </c>
      <c r="F83" s="24" t="s">
        <v>94</v>
      </c>
      <c r="G83" s="24" t="s">
        <v>8</v>
      </c>
      <c r="H83" s="23" t="s">
        <v>93</v>
      </c>
      <c r="I83" s="22" t="s">
        <v>92</v>
      </c>
      <c r="J83" s="21" t="s">
        <v>91</v>
      </c>
      <c r="K83" s="20" t="s">
        <v>90</v>
      </c>
    </row>
    <row r="84" spans="1:11" x14ac:dyDescent="0.25">
      <c r="A84">
        <v>1</v>
      </c>
      <c r="B84" t="s">
        <v>65</v>
      </c>
      <c r="C84" t="s">
        <v>108</v>
      </c>
      <c r="D84">
        <f>VLOOKUP(C84,Lookups!$E$2:$F$47,2,FALSE)</f>
        <v>0.65</v>
      </c>
      <c r="E84" s="30"/>
      <c r="F84" s="29" t="str">
        <f>IF(E84="","",E84*D84)</f>
        <v/>
      </c>
      <c r="G84" t="str">
        <f>IF(F84="","",_xlfn.RANK.EQ(F84,$F$84:$F$96,1)+COUNTIF($F$84:F96,F84)-1)</f>
        <v/>
      </c>
      <c r="H84" s="19" t="str">
        <f>IFERROR((1000+200*(AVERAGE($F$84:$F$96)-F84)/_xlfn.STDEV.P($F$84:$F$96)),"")</f>
        <v/>
      </c>
      <c r="I84" s="18" t="str">
        <f>IFERROR(((1000*SMALL($F$84:$F$96,1)/F84)),"")</f>
        <v/>
      </c>
      <c r="J84" s="17" t="str">
        <f>IF(E84="","",IF(F84&gt;=2*SMALL($F$84:$F$96,1),0,1000-((F84-SMALL($F$84:$F$96,1))/SMALL($F$84:$F$96,1)*100)))</f>
        <v/>
      </c>
      <c r="K84" s="16" t="str">
        <f>IFERROR((1000-MINUTE(F84-SMALL($F$84:$F$96,1))),"~")</f>
        <v>~</v>
      </c>
    </row>
    <row r="85" spans="1:11" x14ac:dyDescent="0.25">
      <c r="A85">
        <v>2</v>
      </c>
      <c r="B85" t="s">
        <v>68</v>
      </c>
      <c r="C85" t="s">
        <v>63</v>
      </c>
      <c r="D85">
        <f>VLOOKUP(C85,Lookups!$E$2:$F$47,2,FALSE)</f>
        <v>0.62</v>
      </c>
      <c r="E85" s="30"/>
      <c r="F85" s="29" t="str">
        <f t="shared" ref="F85:F96" si="52">IF(E85="","",E85*D85)</f>
        <v/>
      </c>
      <c r="G85" t="str">
        <f>IF(F85="","",_xlfn.RANK.EQ(F85,$F$84:$F$96,1)+COUNTIF($F$84:F97,F85)-1)</f>
        <v/>
      </c>
      <c r="H85" s="19" t="str">
        <f t="shared" ref="H85:H96" si="53">IFERROR((1000+200*(AVERAGE($F$84:$F$96)-F85)/_xlfn.STDEV.P($F$84:$F$96)),"")</f>
        <v/>
      </c>
      <c r="I85" s="18" t="str">
        <f t="shared" ref="I85:I96" si="54">IFERROR(((1000*SMALL($F$84:$F$96,1)/F85)),"")</f>
        <v/>
      </c>
      <c r="J85" s="17" t="str">
        <f t="shared" ref="J85:J96" si="55">IF(E85="","",IF(F85&gt;=2*SMALL($F$84:$F$96,1),0,1000-((F85-SMALL($F$84:$F$96,1))/SMALL($F$84:$F$96,1)*100)))</f>
        <v/>
      </c>
      <c r="K85" s="16" t="str">
        <f t="shared" ref="K85:K96" si="56">IFERROR((1000-MINUTE(F85-SMALL($F$84:$F$96,1))),"~")</f>
        <v>~</v>
      </c>
    </row>
    <row r="86" spans="1:11" x14ac:dyDescent="0.25">
      <c r="A86">
        <v>3</v>
      </c>
      <c r="B86" t="s">
        <v>85</v>
      </c>
      <c r="C86" t="s">
        <v>72</v>
      </c>
      <c r="D86">
        <f>VLOOKUP(C86,Lookups!$E$2:$F$47,2,FALSE)</f>
        <v>0.6</v>
      </c>
      <c r="E86" s="30">
        <v>4.0706018518518523E-2</v>
      </c>
      <c r="F86" s="29">
        <f t="shared" si="52"/>
        <v>2.4423611111111115E-2</v>
      </c>
      <c r="G86">
        <f>IF(F86="","",_xlfn.RANK.EQ(F86,$F$84:$F$96,1)+COUNTIF($F$84:F98,F86)-1)</f>
        <v>1</v>
      </c>
      <c r="H86" s="19">
        <f t="shared" si="53"/>
        <v>1200</v>
      </c>
      <c r="I86" s="18">
        <f t="shared" si="54"/>
        <v>1000</v>
      </c>
      <c r="J86" s="17">
        <f t="shared" si="55"/>
        <v>1000</v>
      </c>
      <c r="K86" s="16">
        <f t="shared" si="56"/>
        <v>1000</v>
      </c>
    </row>
    <row r="87" spans="1:11" x14ac:dyDescent="0.25">
      <c r="A87">
        <v>4</v>
      </c>
      <c r="B87" t="s">
        <v>83</v>
      </c>
      <c r="C87" t="s">
        <v>66</v>
      </c>
      <c r="D87">
        <f>VLOOKUP(C87,Lookups!$E$2:$F$47,2,FALSE)</f>
        <v>0.57999999999999996</v>
      </c>
      <c r="E87" s="30">
        <v>4.9143518518518524E-2</v>
      </c>
      <c r="F87" s="29">
        <f t="shared" si="52"/>
        <v>2.8503240740740742E-2</v>
      </c>
      <c r="G87">
        <f>IF(F87="","",_xlfn.RANK.EQ(F87,$F$84:$F$96,1)+COUNTIF($F$84:F99,F87)-1)</f>
        <v>2</v>
      </c>
      <c r="H87" s="19">
        <f t="shared" si="53"/>
        <v>800</v>
      </c>
      <c r="I87" s="18">
        <f t="shared" si="54"/>
        <v>856.87137589942665</v>
      </c>
      <c r="J87" s="17">
        <f t="shared" si="55"/>
        <v>983.29637001232118</v>
      </c>
      <c r="K87" s="16">
        <f t="shared" si="56"/>
        <v>995</v>
      </c>
    </row>
    <row r="88" spans="1:11" x14ac:dyDescent="0.25">
      <c r="A88">
        <v>4</v>
      </c>
      <c r="B88" t="s">
        <v>112</v>
      </c>
      <c r="C88" t="s">
        <v>17</v>
      </c>
      <c r="D88">
        <f>VLOOKUP(C88,Lookups!$E$2:$F$47,2,FALSE)</f>
        <v>0.7</v>
      </c>
      <c r="E88" s="30"/>
      <c r="F88" s="29" t="str">
        <f t="shared" si="52"/>
        <v/>
      </c>
      <c r="G88" t="str">
        <f>IF(F88="","",_xlfn.RANK.EQ(F88,$F$84:$F$96,1)+COUNTIF($F$84:F100,F88)-1)</f>
        <v/>
      </c>
      <c r="H88" s="19" t="str">
        <f t="shared" si="53"/>
        <v/>
      </c>
      <c r="I88" s="18" t="str">
        <f t="shared" si="54"/>
        <v/>
      </c>
      <c r="J88" s="17" t="str">
        <f t="shared" si="55"/>
        <v/>
      </c>
      <c r="K88" s="16" t="str">
        <f t="shared" si="56"/>
        <v>~</v>
      </c>
    </row>
    <row r="89" spans="1:11" x14ac:dyDescent="0.25">
      <c r="B89" t="s">
        <v>120</v>
      </c>
      <c r="C89" t="s">
        <v>72</v>
      </c>
      <c r="D89">
        <f>VLOOKUP(C89,Lookups!$E$2:$F$47,2,FALSE)</f>
        <v>0.6</v>
      </c>
      <c r="E89" s="30"/>
      <c r="F89" s="29" t="str">
        <f t="shared" ref="F89:F91" si="57">IF(E89="","",E89*D89)</f>
        <v/>
      </c>
      <c r="G89" t="str">
        <f>IF(F89="","",_xlfn.RANK.EQ(F89,$F$84:$F$96,1)+COUNTIF($F$84:F101,F89)-1)</f>
        <v/>
      </c>
      <c r="H89" s="19" t="str">
        <f t="shared" ref="H89:H91" si="58">IFERROR((1000+200*(AVERAGE($F$84:$F$96)-F89)/_xlfn.STDEV.P($F$84:$F$96)),"")</f>
        <v/>
      </c>
      <c r="I89" s="18" t="str">
        <f t="shared" ref="I89:I91" si="59">IFERROR(((1000*SMALL($F$84:$F$96,1)/F89)),"")</f>
        <v/>
      </c>
      <c r="J89" s="17" t="str">
        <f t="shared" ref="J89:J91" si="60">IF(E89="","",IF(F89&gt;=2*SMALL($F$84:$F$96,1),0,1000-((F89-SMALL($F$84:$F$96,1))/SMALL($F$84:$F$96,1)*100)))</f>
        <v/>
      </c>
      <c r="K89" s="16" t="str">
        <f t="shared" ref="K89:K91" si="61">IFERROR((1000-MINUTE(F89-SMALL($F$84:$F$96,1))),"~")</f>
        <v>~</v>
      </c>
    </row>
    <row r="90" spans="1:11" x14ac:dyDescent="0.25">
      <c r="B90" t="s">
        <v>122</v>
      </c>
      <c r="C90" t="s">
        <v>66</v>
      </c>
      <c r="D90">
        <f>VLOOKUP(C90,Lookups!$E$2:$F$47,2,FALSE)</f>
        <v>0.57999999999999996</v>
      </c>
      <c r="E90" s="30"/>
      <c r="F90" s="29" t="str">
        <f t="shared" si="57"/>
        <v/>
      </c>
      <c r="G90" t="str">
        <f>IF(F90="","",_xlfn.RANK.EQ(F90,$F$84:$F$96,1)+COUNTIF($F$84:F102,F90)-1)</f>
        <v/>
      </c>
      <c r="H90" s="19" t="str">
        <f t="shared" si="58"/>
        <v/>
      </c>
      <c r="I90" s="18" t="str">
        <f t="shared" si="59"/>
        <v/>
      </c>
      <c r="J90" s="17" t="str">
        <f t="shared" si="60"/>
        <v/>
      </c>
      <c r="K90" s="16" t="str">
        <f t="shared" si="61"/>
        <v>~</v>
      </c>
    </row>
    <row r="91" spans="1:11" x14ac:dyDescent="0.25">
      <c r="A91">
        <v>6</v>
      </c>
      <c r="B91" t="s">
        <v>121</v>
      </c>
      <c r="C91" t="s">
        <v>72</v>
      </c>
      <c r="D91">
        <f>VLOOKUP(C91,Lookups!$E$2:$F$47,2,FALSE)</f>
        <v>0.6</v>
      </c>
      <c r="E91" s="30"/>
      <c r="F91" s="29" t="str">
        <f t="shared" si="57"/>
        <v/>
      </c>
      <c r="G91" t="str">
        <f>IF(F91="","",_xlfn.RANK.EQ(F91,$F$84:$F$96,1)+COUNTIF($F$84:F103,F91)-1)</f>
        <v/>
      </c>
      <c r="H91" s="19" t="str">
        <f t="shared" si="58"/>
        <v/>
      </c>
      <c r="I91" s="18" t="str">
        <f t="shared" si="59"/>
        <v/>
      </c>
      <c r="J91" s="17" t="str">
        <f t="shared" si="60"/>
        <v/>
      </c>
      <c r="K91" s="16" t="str">
        <f t="shared" si="61"/>
        <v>~</v>
      </c>
    </row>
    <row r="92" spans="1:11" x14ac:dyDescent="0.25">
      <c r="A92">
        <v>7</v>
      </c>
      <c r="B92" t="s">
        <v>57</v>
      </c>
      <c r="C92" t="s">
        <v>49</v>
      </c>
      <c r="D92">
        <f>VLOOKUP(C92,Lookups!$E$2:$F$47,2,FALSE)</f>
        <v>0.7</v>
      </c>
      <c r="E92" s="30"/>
      <c r="F92" s="29" t="str">
        <f t="shared" si="52"/>
        <v/>
      </c>
      <c r="G92" t="str">
        <f>IF(F92="","",_xlfn.RANK.EQ(F92,$F$84:$F$96,1)+COUNTIF($F$84:F102,F92)-1)</f>
        <v/>
      </c>
      <c r="H92" s="19" t="str">
        <f t="shared" si="53"/>
        <v/>
      </c>
      <c r="I92" s="18" t="str">
        <f t="shared" si="54"/>
        <v/>
      </c>
      <c r="J92" s="17" t="str">
        <f t="shared" si="55"/>
        <v/>
      </c>
      <c r="K92" s="16" t="str">
        <f t="shared" si="56"/>
        <v>~</v>
      </c>
    </row>
    <row r="93" spans="1:11" x14ac:dyDescent="0.25">
      <c r="A93">
        <v>8</v>
      </c>
      <c r="B93" t="s">
        <v>86</v>
      </c>
      <c r="C93" t="s">
        <v>66</v>
      </c>
      <c r="D93">
        <f>VLOOKUP(C93,Lookups!$E$2:$F$47,2,FALSE)</f>
        <v>0.57999999999999996</v>
      </c>
      <c r="E93" s="30"/>
      <c r="F93" s="29" t="str">
        <f t="shared" si="52"/>
        <v/>
      </c>
      <c r="G93" t="str">
        <f>IF(F93="","",_xlfn.RANK.EQ(F93,$F$84:$F$96,1)+COUNTIF($F$84:F103,F93)-1)</f>
        <v/>
      </c>
      <c r="H93" s="19" t="str">
        <f t="shared" si="53"/>
        <v/>
      </c>
      <c r="I93" s="18" t="str">
        <f t="shared" si="54"/>
        <v/>
      </c>
      <c r="J93" s="17" t="str">
        <f t="shared" si="55"/>
        <v/>
      </c>
      <c r="K93" s="16" t="str">
        <f t="shared" si="56"/>
        <v>~</v>
      </c>
    </row>
    <row r="94" spans="1:11" x14ac:dyDescent="0.25">
      <c r="A94">
        <v>9</v>
      </c>
      <c r="B94" t="s">
        <v>77</v>
      </c>
      <c r="C94" t="s">
        <v>34</v>
      </c>
      <c r="D94">
        <f>VLOOKUP(C94,Lookups!$E$2:$F$47,2,FALSE)</f>
        <v>0.8</v>
      </c>
      <c r="E94" s="30"/>
      <c r="F94" s="29" t="str">
        <f t="shared" si="52"/>
        <v/>
      </c>
      <c r="G94" t="str">
        <f>IF(F94="","",_xlfn.RANK.EQ(F94,$F$84:$F$96,1)+COUNTIF($F$84:F104,F94)-1)</f>
        <v/>
      </c>
      <c r="H94" s="19" t="str">
        <f t="shared" si="53"/>
        <v/>
      </c>
      <c r="I94" s="18" t="str">
        <f t="shared" si="54"/>
        <v/>
      </c>
      <c r="J94" s="17" t="str">
        <f t="shared" si="55"/>
        <v/>
      </c>
      <c r="K94" s="16" t="str">
        <f t="shared" si="56"/>
        <v>~</v>
      </c>
    </row>
    <row r="95" spans="1:11" x14ac:dyDescent="0.25">
      <c r="A95">
        <v>9</v>
      </c>
      <c r="B95" t="s">
        <v>88</v>
      </c>
      <c r="C95" t="s">
        <v>66</v>
      </c>
      <c r="D95">
        <f>VLOOKUP(C95,Lookups!$E$2:$F$47,2,FALSE)</f>
        <v>0.57999999999999996</v>
      </c>
      <c r="E95" s="30"/>
      <c r="F95" s="29" t="str">
        <f t="shared" si="52"/>
        <v/>
      </c>
      <c r="G95" t="str">
        <f>IF(F95="","",_xlfn.RANK.EQ(F95,$F$84:$F$96,1)+COUNTIF($F$84:F105,F95)-1)</f>
        <v/>
      </c>
      <c r="H95" s="19" t="str">
        <f t="shared" si="53"/>
        <v/>
      </c>
      <c r="I95" s="18" t="str">
        <f t="shared" si="54"/>
        <v/>
      </c>
      <c r="J95" s="17" t="str">
        <f t="shared" si="55"/>
        <v/>
      </c>
      <c r="K95" s="16" t="str">
        <f t="shared" si="56"/>
        <v>~</v>
      </c>
    </row>
    <row r="96" spans="1:11" x14ac:dyDescent="0.25">
      <c r="A96">
        <v>9</v>
      </c>
      <c r="B96" t="s">
        <v>83</v>
      </c>
      <c r="C96" t="s">
        <v>66</v>
      </c>
      <c r="D96">
        <f>VLOOKUP(C96,Lookups!$E$2:$F$47,2,FALSE)</f>
        <v>0.57999999999999996</v>
      </c>
      <c r="E96" s="30"/>
      <c r="F96" s="29" t="str">
        <f t="shared" si="52"/>
        <v/>
      </c>
      <c r="G96" t="str">
        <f>IF(F96="","",_xlfn.RANK.EQ(F96,$F$84:$F$96,1)+COUNTIF($F$84:F106,F96)-1)</f>
        <v/>
      </c>
      <c r="H96" s="19" t="str">
        <f t="shared" si="53"/>
        <v/>
      </c>
      <c r="I96" s="18" t="str">
        <f t="shared" si="54"/>
        <v/>
      </c>
      <c r="J96" s="17" t="str">
        <f t="shared" si="55"/>
        <v/>
      </c>
      <c r="K96" s="16" t="str">
        <f t="shared" si="56"/>
        <v>~</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97"/>
  <sheetViews>
    <sheetView topLeftCell="A41" zoomScale="90" zoomScaleNormal="90" workbookViewId="0">
      <selection activeCell="B74" sqref="B74"/>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s>
  <sheetData>
    <row r="2" spans="1:19" x14ac:dyDescent="0.25">
      <c r="E2" s="30">
        <v>7.829861111111111E-2</v>
      </c>
      <c r="F2" s="29">
        <f>E2*D7</f>
        <v>6.2638888888888897E-2</v>
      </c>
    </row>
    <row r="5" spans="1:19" x14ac:dyDescent="0.25">
      <c r="A5" t="s">
        <v>7</v>
      </c>
    </row>
    <row r="6" spans="1:19" ht="30" x14ac:dyDescent="0.25">
      <c r="A6" s="24" t="s">
        <v>8</v>
      </c>
      <c r="B6" s="24" t="s">
        <v>9</v>
      </c>
      <c r="C6" s="24" t="s">
        <v>10</v>
      </c>
      <c r="D6" s="24" t="s">
        <v>12</v>
      </c>
      <c r="E6" s="28" t="s">
        <v>95</v>
      </c>
      <c r="F6" s="24" t="s">
        <v>94</v>
      </c>
      <c r="G6" s="24" t="s">
        <v>8</v>
      </c>
      <c r="H6" s="23" t="s">
        <v>93</v>
      </c>
      <c r="I6" s="22" t="s">
        <v>92</v>
      </c>
      <c r="J6" s="21" t="s">
        <v>91</v>
      </c>
      <c r="K6" s="20" t="s">
        <v>90</v>
      </c>
    </row>
    <row r="7" spans="1:19" x14ac:dyDescent="0.25">
      <c r="A7" t="e">
        <f>_xlfn.RANK.EQ($I$7:$I$34,I7,0)</f>
        <v>#VALUE!</v>
      </c>
      <c r="B7" t="s">
        <v>16</v>
      </c>
      <c r="C7" t="s">
        <v>110</v>
      </c>
      <c r="D7">
        <f>VLOOKUP(C7,Lookups!$E$2:$F$47,2,FALSE)</f>
        <v>0.8</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J34" si="2">IF(E7="","",IF(F7&gt;=2*SMALL($F$7:$F$34,1),0,1000-((F7-SMALL($F$7:$F$34,1))/SMALL($F$7:$F$34,1)*100)))</f>
        <v/>
      </c>
      <c r="K7" s="16" t="str">
        <f t="shared" ref="K7:K34" si="3">IFERROR((1000-MINUTE(F7-SMALL($F$7:$F$34,1))),"~")</f>
        <v>~</v>
      </c>
    </row>
    <row r="8" spans="1:19" x14ac:dyDescent="0.25">
      <c r="A8">
        <f t="shared" ref="A8:A34" si="4">_xlfn.RANK.EQ($E$7:$E$34,E8,0)</f>
        <v>1</v>
      </c>
      <c r="B8" t="s">
        <v>20</v>
      </c>
      <c r="C8" t="s">
        <v>39</v>
      </c>
      <c r="D8">
        <f>VLOOKUP(C8,Lookups!$E$2:$F$47,2,FALSE)</f>
        <v>0.9</v>
      </c>
      <c r="E8" s="30">
        <v>3.2650462962962964E-2</v>
      </c>
      <c r="F8" s="29">
        <f t="shared" si="0"/>
        <v>2.9385416666666667E-2</v>
      </c>
      <c r="G8">
        <f>IF(F8="","",_xlfn.RANK.EQ(F8,$F$7:$F$34,1)+COUNTIF($F$7:F8,F8)-1)</f>
        <v>1</v>
      </c>
      <c r="H8" s="19">
        <f t="shared" si="1"/>
        <v>1318.2584642486981</v>
      </c>
      <c r="I8" s="18">
        <f>IFERROR(((1000*SMALL($F$7:$F$34,1)/F8)),"")</f>
        <v>1000</v>
      </c>
      <c r="J8" s="17">
        <f t="shared" si="2"/>
        <v>1000</v>
      </c>
      <c r="K8" s="16">
        <f t="shared" si="3"/>
        <v>1000</v>
      </c>
    </row>
    <row r="9" spans="1:19" x14ac:dyDescent="0.25">
      <c r="A9" t="e">
        <f t="shared" si="4"/>
        <v>#N/A</v>
      </c>
      <c r="B9" t="s">
        <v>3</v>
      </c>
      <c r="C9" t="s">
        <v>19</v>
      </c>
      <c r="D9">
        <f>VLOOKUP(C9,Lookups!$E$2:$F$47,2,FALSE)</f>
        <v>0.63</v>
      </c>
      <c r="E9" s="30"/>
      <c r="F9" s="29" t="str">
        <f t="shared" si="0"/>
        <v/>
      </c>
      <c r="G9" t="str">
        <f>IF(F9="","",_xlfn.RANK.EQ(F9,$F$7:$F$34,1)+COUNTIF($F$7:F9,F9)-1)</f>
        <v/>
      </c>
      <c r="H9" s="19" t="str">
        <f t="shared" si="1"/>
        <v/>
      </c>
      <c r="I9" s="18" t="str">
        <f t="shared" ref="I9:I34" si="5">IFERROR(((1000*SMALL($F$7:$F$34,1)/F9)),"")</f>
        <v/>
      </c>
      <c r="J9" s="17" t="str">
        <f t="shared" si="2"/>
        <v/>
      </c>
      <c r="K9" s="16" t="str">
        <f t="shared" si="3"/>
        <v>~</v>
      </c>
    </row>
    <row r="10" spans="1:19" x14ac:dyDescent="0.25">
      <c r="A10">
        <f t="shared" si="4"/>
        <v>1</v>
      </c>
      <c r="B10" t="s">
        <v>23</v>
      </c>
      <c r="C10" t="s">
        <v>24</v>
      </c>
      <c r="D10">
        <f>VLOOKUP(C10,Lookups!$E$2:$F$47,2,FALSE)</f>
        <v>0.7</v>
      </c>
      <c r="E10" s="30">
        <v>5.1076388888888886E-2</v>
      </c>
      <c r="F10" s="29">
        <f t="shared" si="0"/>
        <v>3.5753472222222221E-2</v>
      </c>
      <c r="G10">
        <f>IF(F10="","",_xlfn.RANK.EQ(F10,$F$7:$F$34,1)+COUNTIF($F$7:F10,F10)-1)</f>
        <v>3</v>
      </c>
      <c r="H10" s="19">
        <f t="shared" si="1"/>
        <v>1004.7970646754037</v>
      </c>
      <c r="I10" s="18">
        <f t="shared" si="5"/>
        <v>821.88987083616598</v>
      </c>
      <c r="J10" s="17">
        <f t="shared" si="2"/>
        <v>978.32919768403644</v>
      </c>
      <c r="K10" s="16">
        <f t="shared" si="3"/>
        <v>991</v>
      </c>
      <c r="Q10" s="25"/>
    </row>
    <row r="11" spans="1:19" x14ac:dyDescent="0.25">
      <c r="A11" t="e">
        <f t="shared" si="4"/>
        <v>#N/A</v>
      </c>
      <c r="B11" t="s">
        <v>6</v>
      </c>
      <c r="C11" t="s">
        <v>19</v>
      </c>
      <c r="D11">
        <f>VLOOKUP(C11,Lookups!$E$2:$F$47,2,FALSE)</f>
        <v>0.63</v>
      </c>
      <c r="E11" s="30"/>
      <c r="F11" s="29" t="str">
        <f t="shared" si="0"/>
        <v/>
      </c>
      <c r="G11" t="str">
        <f>IF(F11="","",_xlfn.RANK.EQ(F11,$F$7:$F$34,1)+COUNTIF($F$7:F11,F11)-1)</f>
        <v/>
      </c>
      <c r="H11" s="19" t="str">
        <f t="shared" si="1"/>
        <v/>
      </c>
      <c r="I11" s="18" t="str">
        <f t="shared" si="5"/>
        <v/>
      </c>
      <c r="J11" s="17" t="str">
        <f t="shared" si="2"/>
        <v/>
      </c>
      <c r="K11" s="16" t="str">
        <f t="shared" si="3"/>
        <v>~</v>
      </c>
      <c r="S11">
        <f t="shared" ref="S11:S17" ca="1" si="6">RANDBETWEEN(45,200)</f>
        <v>99</v>
      </c>
    </row>
    <row r="12" spans="1:19" x14ac:dyDescent="0.25">
      <c r="A12" t="e">
        <f t="shared" si="4"/>
        <v>#N/A</v>
      </c>
      <c r="B12" t="s">
        <v>0</v>
      </c>
      <c r="C12" t="s">
        <v>27</v>
      </c>
      <c r="D12">
        <f>VLOOKUP(C12,Lookups!$E$2:$F$47,2,FALSE)</f>
        <v>0.86</v>
      </c>
      <c r="E12" s="30"/>
      <c r="F12" s="29" t="str">
        <f t="shared" si="0"/>
        <v/>
      </c>
      <c r="G12" t="str">
        <f>IF(F12="","",_xlfn.RANK.EQ(F12,$F$7:$F$34,1)+COUNTIF($F$7:F12,F12)-1)</f>
        <v/>
      </c>
      <c r="H12" s="19" t="str">
        <f t="shared" si="1"/>
        <v/>
      </c>
      <c r="I12" s="18" t="str">
        <f t="shared" si="5"/>
        <v/>
      </c>
      <c r="J12" s="17" t="str">
        <f t="shared" si="2"/>
        <v/>
      </c>
      <c r="K12" s="16" t="str">
        <f t="shared" si="3"/>
        <v>~</v>
      </c>
      <c r="S12">
        <f t="shared" ca="1" si="6"/>
        <v>89</v>
      </c>
    </row>
    <row r="13" spans="1:19" x14ac:dyDescent="0.25">
      <c r="A13">
        <f t="shared" si="4"/>
        <v>1</v>
      </c>
      <c r="B13" t="s">
        <v>5</v>
      </c>
      <c r="C13" t="s">
        <v>43</v>
      </c>
      <c r="D13">
        <f>VLOOKUP(C13,Lookups!$E$2:$F$47,2,FALSE)</f>
        <v>0.64</v>
      </c>
      <c r="E13" s="30">
        <v>5.6111111111111112E-2</v>
      </c>
      <c r="F13" s="29">
        <f t="shared" si="0"/>
        <v>3.5911111111111109E-2</v>
      </c>
      <c r="G13">
        <f>IF(F13="","",_xlfn.RANK.EQ(F13,$F$7:$F$34,1)+COUNTIF($F$7:F13,F13)-1)</f>
        <v>4</v>
      </c>
      <c r="H13" s="19">
        <f t="shared" si="1"/>
        <v>997.03744224321861</v>
      </c>
      <c r="I13" s="18">
        <f t="shared" si="5"/>
        <v>818.28202351485152</v>
      </c>
      <c r="J13" s="17">
        <f t="shared" si="2"/>
        <v>977.7927448895191</v>
      </c>
      <c r="K13" s="16">
        <f t="shared" si="3"/>
        <v>991</v>
      </c>
      <c r="S13">
        <f t="shared" ca="1" si="6"/>
        <v>103</v>
      </c>
    </row>
    <row r="14" spans="1:19" x14ac:dyDescent="0.25">
      <c r="A14" t="e">
        <f t="shared" si="4"/>
        <v>#N/A</v>
      </c>
      <c r="B14" t="s">
        <v>29</v>
      </c>
      <c r="C14" t="s">
        <v>39</v>
      </c>
      <c r="D14">
        <f>VLOOKUP(C14,Lookups!$E$2:$F$47,2,FALSE)</f>
        <v>0.9</v>
      </c>
      <c r="E14" s="30"/>
      <c r="F14" s="29" t="str">
        <f t="shared" si="0"/>
        <v/>
      </c>
      <c r="G14" t="str">
        <f>IF(F14="","",_xlfn.RANK.EQ(F14,$F$7:$F$34,1)+COUNTIF($F$7:F14,F14)-1)</f>
        <v/>
      </c>
      <c r="H14" s="19" t="str">
        <f t="shared" si="1"/>
        <v/>
      </c>
      <c r="I14" s="18" t="str">
        <f t="shared" si="5"/>
        <v/>
      </c>
      <c r="J14" s="17" t="str">
        <f t="shared" si="2"/>
        <v/>
      </c>
      <c r="K14" s="16" t="str">
        <f t="shared" si="3"/>
        <v>~</v>
      </c>
      <c r="S14">
        <f t="shared" ca="1" si="6"/>
        <v>137</v>
      </c>
    </row>
    <row r="15" spans="1:19" x14ac:dyDescent="0.25">
      <c r="A15">
        <f t="shared" si="4"/>
        <v>1</v>
      </c>
      <c r="B15" t="s">
        <v>30</v>
      </c>
      <c r="C15" t="s">
        <v>21</v>
      </c>
      <c r="D15">
        <f>VLOOKUP(C15,Lookups!$E$2:$F$47,2,FALSE)</f>
        <v>0.84</v>
      </c>
      <c r="E15" s="30">
        <v>3.9259259259259258E-2</v>
      </c>
      <c r="F15" s="29">
        <f t="shared" si="0"/>
        <v>3.2977777777777773E-2</v>
      </c>
      <c r="G15">
        <f>IF(F15="","",_xlfn.RANK.EQ(F15,$F$7:$F$34,1)+COUNTIF($F$7:F15,F15)-1)</f>
        <v>2</v>
      </c>
      <c r="H15" s="19">
        <f t="shared" si="1"/>
        <v>1141.4279495275803</v>
      </c>
      <c r="I15" s="18">
        <f t="shared" si="5"/>
        <v>891.06721698113222</v>
      </c>
      <c r="J15" s="17">
        <f t="shared" si="2"/>
        <v>987.77502067824651</v>
      </c>
      <c r="K15" s="16">
        <f t="shared" si="3"/>
        <v>995</v>
      </c>
      <c r="S15">
        <f t="shared" ca="1" si="6"/>
        <v>186</v>
      </c>
    </row>
    <row r="16" spans="1:19" x14ac:dyDescent="0.25">
      <c r="A16" t="e">
        <f t="shared" si="4"/>
        <v>#N/A</v>
      </c>
      <c r="B16" t="s">
        <v>25</v>
      </c>
      <c r="C16" t="s">
        <v>26</v>
      </c>
      <c r="D16">
        <f>VLOOKUP(C16,Lookups!$E$2:$F$47,2,FALSE)</f>
        <v>0.67</v>
      </c>
      <c r="E16" s="30"/>
      <c r="F16" s="29" t="str">
        <f t="shared" si="0"/>
        <v/>
      </c>
      <c r="G16" t="str">
        <f>IF(F16="","",_xlfn.RANK.EQ(F16,$F$7:$F$34,1)+COUNTIF($F$7:F16,F16)-1)</f>
        <v/>
      </c>
      <c r="H16" s="19" t="str">
        <f t="shared" si="1"/>
        <v/>
      </c>
      <c r="I16" s="18" t="str">
        <f t="shared" si="5"/>
        <v/>
      </c>
      <c r="J16" s="17" t="str">
        <f t="shared" si="2"/>
        <v/>
      </c>
      <c r="K16" s="16" t="str">
        <f t="shared" si="3"/>
        <v>~</v>
      </c>
      <c r="S16">
        <f t="shared" ca="1" si="6"/>
        <v>113</v>
      </c>
    </row>
    <row r="17" spans="1:19" x14ac:dyDescent="0.25">
      <c r="A17" t="e">
        <f t="shared" si="4"/>
        <v>#N/A</v>
      </c>
      <c r="B17" t="s">
        <v>105</v>
      </c>
      <c r="C17" t="s">
        <v>39</v>
      </c>
      <c r="D17">
        <f>VLOOKUP(C17,Lookups!$E$2:$F$47,2,FALSE)</f>
        <v>0.9</v>
      </c>
      <c r="E17" s="30"/>
      <c r="F17" s="29" t="str">
        <f t="shared" si="0"/>
        <v/>
      </c>
      <c r="G17" t="str">
        <f>IF(F17="","",_xlfn.RANK.EQ(F17,$F$7:$F$34,1)+COUNTIF($F$7:F17,F17)-1)</f>
        <v/>
      </c>
      <c r="H17" s="19" t="str">
        <f t="shared" si="1"/>
        <v/>
      </c>
      <c r="I17" s="18" t="str">
        <f t="shared" si="5"/>
        <v/>
      </c>
      <c r="J17" s="17" t="str">
        <f t="shared" si="2"/>
        <v/>
      </c>
      <c r="K17" s="16" t="str">
        <f t="shared" si="3"/>
        <v>~</v>
      </c>
      <c r="S17">
        <f t="shared" ca="1" si="6"/>
        <v>132</v>
      </c>
    </row>
    <row r="18" spans="1:19" x14ac:dyDescent="0.25">
      <c r="B18" t="s">
        <v>102</v>
      </c>
      <c r="C18" t="s">
        <v>103</v>
      </c>
      <c r="E18" s="30"/>
      <c r="F18" s="29" t="str">
        <f t="shared" ref="F18" si="7">IF(E18="","",E18*D18)</f>
        <v/>
      </c>
      <c r="G18" t="str">
        <f>IF(F18="","",_xlfn.RANK.EQ(F18,$F$7:$F$34,1)+COUNTIF($F$7:F18,F18)-1)</f>
        <v/>
      </c>
      <c r="H18" s="19" t="str">
        <f t="shared" ref="H18" si="8">IFERROR((1000+200*(AVERAGE($F$7:$F$34)-F18)/_xlfn.STDEV.P($F$7:$F$34)),"")</f>
        <v/>
      </c>
      <c r="I18" s="18" t="str">
        <f t="shared" ref="I18" si="9">IFERROR(((1000*SMALL($F$7:$F$34,1)/F18)),"")</f>
        <v/>
      </c>
      <c r="J18" s="17" t="str">
        <f t="shared" ref="J18" si="10">IF(E18="","",IF(F18&gt;=2*SMALL($F$7:$F$34,1),0,1000-((F18-SMALL($F$7:$F$34,1))/SMALL($F$7:$F$34,1)*100)))</f>
        <v/>
      </c>
      <c r="K18" s="16" t="str">
        <f t="shared" ref="K18" si="11">IFERROR((1000-MINUTE(F18-SMALL($F$7:$F$34,1))),"~")</f>
        <v>~</v>
      </c>
    </row>
    <row r="19" spans="1:19" x14ac:dyDescent="0.25">
      <c r="A19">
        <f t="shared" si="4"/>
        <v>1</v>
      </c>
      <c r="B19" t="s">
        <v>32</v>
      </c>
      <c r="C19" t="s">
        <v>27</v>
      </c>
      <c r="D19">
        <f>VLOOKUP(C19,Lookups!$E$2:$F$47,2,FALSE)</f>
        <v>0.86</v>
      </c>
      <c r="E19" s="30">
        <v>4.898148148148148E-2</v>
      </c>
      <c r="F19" s="29">
        <f t="shared" si="0"/>
        <v>4.2124074074074071E-2</v>
      </c>
      <c r="G19">
        <f>IF(F19="","",_xlfn.RANK.EQ(F19,$F$7:$F$34,1)+COUNTIF($F$7:F19,F19)-1)</f>
        <v>6</v>
      </c>
      <c r="H19" s="19">
        <f t="shared" si="1"/>
        <v>691.21032612009185</v>
      </c>
      <c r="I19" s="18">
        <f t="shared" si="5"/>
        <v>697.59199015254762</v>
      </c>
      <c r="J19" s="17">
        <f t="shared" si="2"/>
        <v>956.64973019811737</v>
      </c>
      <c r="K19" s="16">
        <f t="shared" si="3"/>
        <v>982</v>
      </c>
    </row>
    <row r="20" spans="1:19" x14ac:dyDescent="0.25">
      <c r="A20">
        <f t="shared" si="4"/>
        <v>1</v>
      </c>
      <c r="B20" t="s">
        <v>57</v>
      </c>
      <c r="C20" t="s">
        <v>49</v>
      </c>
      <c r="D20">
        <f>VLOOKUP(C20,Lookups!$E$2:$F$47,2,FALSE)</f>
        <v>0.7</v>
      </c>
      <c r="E20" s="30">
        <v>5.5648148148148148E-2</v>
      </c>
      <c r="F20" s="29">
        <f t="shared" si="0"/>
        <v>3.8953703703703699E-2</v>
      </c>
      <c r="G20">
        <f>IF(F20="","",_xlfn.RANK.EQ(F20,$F$7:$F$34,1)+COUNTIF($F$7:F20,F20)-1)</f>
        <v>5</v>
      </c>
      <c r="H20" s="19">
        <f t="shared" si="1"/>
        <v>847.26875318500788</v>
      </c>
      <c r="I20" s="18">
        <f t="shared" si="5"/>
        <v>754.36772046589033</v>
      </c>
      <c r="J20" s="17">
        <f t="shared" si="2"/>
        <v>967.43865453542878</v>
      </c>
      <c r="K20" s="16">
        <f t="shared" si="3"/>
        <v>987</v>
      </c>
    </row>
    <row r="21" spans="1:19" x14ac:dyDescent="0.25">
      <c r="A21" t="e">
        <f t="shared" si="4"/>
        <v>#N/A</v>
      </c>
      <c r="B21" t="s">
        <v>35</v>
      </c>
      <c r="C21" t="s">
        <v>59</v>
      </c>
      <c r="D21">
        <f>VLOOKUP(C21,Lookups!$E$2:$F$47,2,FALSE)</f>
        <v>0.77</v>
      </c>
      <c r="E21" s="30"/>
      <c r="F21" s="29" t="str">
        <f t="shared" si="0"/>
        <v/>
      </c>
      <c r="G21" t="str">
        <f>IF(F21="","",_xlfn.RANK.EQ(F21,$F$7:$F$34,1)+COUNTIF($F$7:F21,F21)-1)</f>
        <v/>
      </c>
      <c r="H21" s="19" t="str">
        <f t="shared" si="1"/>
        <v/>
      </c>
      <c r="I21" s="18" t="str">
        <f t="shared" si="5"/>
        <v/>
      </c>
      <c r="J21" s="17" t="str">
        <f t="shared" si="2"/>
        <v/>
      </c>
      <c r="K21" s="16" t="str">
        <f t="shared" si="3"/>
        <v>~</v>
      </c>
    </row>
    <row r="22" spans="1:19" x14ac:dyDescent="0.25">
      <c r="A22" t="e">
        <f t="shared" si="4"/>
        <v>#N/A</v>
      </c>
      <c r="B22" t="s">
        <v>37</v>
      </c>
      <c r="C22" t="s">
        <v>27</v>
      </c>
      <c r="D22">
        <f>VLOOKUP(C22,Lookups!$E$2:$F$47,2,FALSE)</f>
        <v>0.86</v>
      </c>
      <c r="E22" s="30"/>
      <c r="F22" s="29" t="str">
        <f t="shared" si="0"/>
        <v/>
      </c>
      <c r="G22" t="str">
        <f>IF(F22="","",_xlfn.RANK.EQ(F22,$F$7:$F$34,1)+COUNTIF($F$7:F22,F22)-1)</f>
        <v/>
      </c>
      <c r="H22" s="19" t="str">
        <f t="shared" si="1"/>
        <v/>
      </c>
      <c r="I22" s="18" t="str">
        <f t="shared" si="5"/>
        <v/>
      </c>
      <c r="J22" s="17" t="str">
        <f t="shared" si="2"/>
        <v/>
      </c>
      <c r="K22" s="16" t="str">
        <f t="shared" si="3"/>
        <v>~</v>
      </c>
    </row>
    <row r="23" spans="1:19" x14ac:dyDescent="0.25">
      <c r="A23" t="e">
        <f t="shared" si="4"/>
        <v>#N/A</v>
      </c>
      <c r="B23" t="s">
        <v>33</v>
      </c>
      <c r="C23" t="s">
        <v>39</v>
      </c>
      <c r="D23">
        <f>VLOOKUP(C23,Lookups!$E$2:$F$47,2,FALSE)</f>
        <v>0.9</v>
      </c>
      <c r="E23" s="30"/>
      <c r="F23" s="29" t="str">
        <f t="shared" si="0"/>
        <v/>
      </c>
      <c r="G23" t="str">
        <f>IF(F23="","",_xlfn.RANK.EQ(F23,$F$7:$F$34,1)+COUNTIF($F$7:F23,F23)-1)</f>
        <v/>
      </c>
      <c r="H23" s="19" t="str">
        <f t="shared" si="1"/>
        <v/>
      </c>
      <c r="I23" s="18" t="str">
        <f t="shared" si="5"/>
        <v/>
      </c>
      <c r="J23" s="17" t="str">
        <f t="shared" si="2"/>
        <v/>
      </c>
      <c r="K23" s="16" t="str">
        <f t="shared" si="3"/>
        <v>~</v>
      </c>
    </row>
    <row r="24" spans="1:19" x14ac:dyDescent="0.25">
      <c r="A24" t="e">
        <f t="shared" si="4"/>
        <v>#N/A</v>
      </c>
      <c r="B24" t="s">
        <v>1</v>
      </c>
      <c r="C24" t="s">
        <v>36</v>
      </c>
      <c r="D24">
        <f>VLOOKUP(C24,Lookups!$E$2:$F$47,2,FALSE)</f>
        <v>0.56999999999999995</v>
      </c>
      <c r="E24" s="30"/>
      <c r="F24" s="29" t="str">
        <f t="shared" si="0"/>
        <v/>
      </c>
      <c r="G24" t="str">
        <f>IF(F24="","",_xlfn.RANK.EQ(F24,$F$7:$F$34,1)+COUNTIF($F$7:F24,F24)-1)</f>
        <v/>
      </c>
      <c r="H24" s="19" t="str">
        <f t="shared" si="1"/>
        <v/>
      </c>
      <c r="I24" s="18" t="str">
        <f t="shared" si="5"/>
        <v/>
      </c>
      <c r="J24" s="17" t="str">
        <f t="shared" si="2"/>
        <v/>
      </c>
      <c r="K24" s="16" t="str">
        <f t="shared" si="3"/>
        <v>~</v>
      </c>
    </row>
    <row r="25" spans="1:19" x14ac:dyDescent="0.25">
      <c r="A25" t="e">
        <f t="shared" si="4"/>
        <v>#N/A</v>
      </c>
      <c r="B25" t="s">
        <v>40</v>
      </c>
      <c r="C25" t="s">
        <v>17</v>
      </c>
      <c r="D25">
        <f>VLOOKUP(C25,Lookups!$E$2:$F$47,2,FALSE)</f>
        <v>0.7</v>
      </c>
      <c r="E25" s="30"/>
      <c r="F25" s="29" t="str">
        <f t="shared" si="0"/>
        <v/>
      </c>
      <c r="G25" t="str">
        <f>IF(F25="","",_xlfn.RANK.EQ(F25,$F$7:$F$34,1)+COUNTIF($F$7:F25,F25)-1)</f>
        <v/>
      </c>
      <c r="H25" s="19" t="str">
        <f t="shared" si="1"/>
        <v/>
      </c>
      <c r="I25" s="18" t="str">
        <f t="shared" si="5"/>
        <v/>
      </c>
      <c r="J25" s="17" t="str">
        <f t="shared" si="2"/>
        <v/>
      </c>
      <c r="K25" s="16" t="str">
        <f t="shared" si="3"/>
        <v>~</v>
      </c>
    </row>
    <row r="26" spans="1:19" x14ac:dyDescent="0.25">
      <c r="A26" t="e">
        <f t="shared" si="4"/>
        <v>#N/A</v>
      </c>
      <c r="B26" t="s">
        <v>41</v>
      </c>
      <c r="C26" t="s">
        <v>17</v>
      </c>
      <c r="D26">
        <f>VLOOKUP(C26,Lookups!$E$2:$F$47,2,FALSE)</f>
        <v>0.7</v>
      </c>
      <c r="E26" s="30"/>
      <c r="F26" s="29" t="str">
        <f t="shared" si="0"/>
        <v/>
      </c>
      <c r="G26" t="str">
        <f>IF(F26="","",_xlfn.RANK.EQ(F26,$F$7:$F$34,1)+COUNTIF($F$7:F26,F26)-1)</f>
        <v/>
      </c>
      <c r="H26" s="19" t="str">
        <f t="shared" si="1"/>
        <v/>
      </c>
      <c r="I26" s="18" t="str">
        <f t="shared" si="5"/>
        <v/>
      </c>
      <c r="J26" s="17" t="str">
        <f t="shared" si="2"/>
        <v/>
      </c>
      <c r="K26" s="16" t="str">
        <f t="shared" si="3"/>
        <v>~</v>
      </c>
    </row>
    <row r="27" spans="1:19" x14ac:dyDescent="0.25">
      <c r="A27" t="e">
        <f t="shared" si="4"/>
        <v>#N/A</v>
      </c>
      <c r="B27" t="s">
        <v>44</v>
      </c>
      <c r="C27" t="s">
        <v>45</v>
      </c>
      <c r="D27">
        <f>VLOOKUP(C27,Lookups!$E$2:$F$47,2,FALSE)</f>
        <v>0.67</v>
      </c>
      <c r="E27" s="30"/>
      <c r="F27" s="29" t="str">
        <f t="shared" si="0"/>
        <v/>
      </c>
      <c r="G27" t="str">
        <f>IF(F27="","",_xlfn.RANK.EQ(F27,$F$7:$F$34,1)+COUNTIF($F$7:F27,F27)-1)</f>
        <v/>
      </c>
      <c r="H27" s="19" t="str">
        <f t="shared" si="1"/>
        <v/>
      </c>
      <c r="I27" s="18" t="str">
        <f t="shared" si="5"/>
        <v/>
      </c>
      <c r="J27" s="17" t="str">
        <f t="shared" si="2"/>
        <v/>
      </c>
      <c r="K27" s="16" t="str">
        <f t="shared" si="3"/>
        <v>~</v>
      </c>
    </row>
    <row r="28" spans="1:19" x14ac:dyDescent="0.25">
      <c r="A28" t="e">
        <f t="shared" si="4"/>
        <v>#N/A</v>
      </c>
      <c r="B28" t="s">
        <v>42</v>
      </c>
      <c r="C28" t="s">
        <v>43</v>
      </c>
      <c r="D28">
        <f>VLOOKUP(C28,Lookups!$E$2:$F$47,2,FALSE)</f>
        <v>0.64</v>
      </c>
      <c r="E28" s="30"/>
      <c r="F28" s="29" t="str">
        <f t="shared" si="0"/>
        <v/>
      </c>
      <c r="G28" t="str">
        <f>IF(F28="","",_xlfn.RANK.EQ(F28,$F$7:$F$34,1)+COUNTIF($F$7:F28,F28)-1)</f>
        <v/>
      </c>
      <c r="H28" s="19" t="str">
        <f t="shared" si="1"/>
        <v/>
      </c>
      <c r="I28" s="18" t="str">
        <f t="shared" si="5"/>
        <v/>
      </c>
      <c r="J28" s="17" t="str">
        <f t="shared" si="2"/>
        <v/>
      </c>
      <c r="K28" s="16" t="str">
        <f t="shared" si="3"/>
        <v>~</v>
      </c>
    </row>
    <row r="29" spans="1:19" x14ac:dyDescent="0.25">
      <c r="A29" t="e">
        <f t="shared" si="4"/>
        <v>#N/A</v>
      </c>
      <c r="B29" t="s">
        <v>106</v>
      </c>
      <c r="C29" t="s">
        <v>45</v>
      </c>
      <c r="D29">
        <f>VLOOKUP(C29,Lookups!$E$2:$F$47,2,FALSE)</f>
        <v>0.67</v>
      </c>
      <c r="E29" s="30"/>
      <c r="F29" s="29" t="str">
        <f t="shared" si="0"/>
        <v/>
      </c>
      <c r="G29" t="str">
        <f>IF(F29="","",_xlfn.RANK.EQ(F29,$F$7:$F$34,1)+COUNTIF($F$7:F29,F29)-1)</f>
        <v/>
      </c>
      <c r="H29" s="19" t="str">
        <f t="shared" si="1"/>
        <v/>
      </c>
      <c r="I29" s="18" t="str">
        <f t="shared" si="5"/>
        <v/>
      </c>
      <c r="J29" s="17" t="str">
        <f t="shared" si="2"/>
        <v/>
      </c>
      <c r="K29" s="16" t="str">
        <f t="shared" si="3"/>
        <v>~</v>
      </c>
    </row>
    <row r="30" spans="1:19" x14ac:dyDescent="0.25">
      <c r="A30" t="e">
        <f t="shared" si="4"/>
        <v>#N/A</v>
      </c>
      <c r="B30" t="s">
        <v>46</v>
      </c>
      <c r="C30" t="s">
        <v>47</v>
      </c>
      <c r="D30">
        <f>VLOOKUP(C30,Lookups!$E$2:$F$47,2,FALSE)</f>
        <v>0.8</v>
      </c>
      <c r="E30" s="30"/>
      <c r="F30" s="29" t="str">
        <f t="shared" si="0"/>
        <v/>
      </c>
      <c r="G30" t="str">
        <f>IF(F30="","",_xlfn.RANK.EQ(F30,$F$7:$F$34,1)+COUNTIF($F$7:F30,F30)-1)</f>
        <v/>
      </c>
      <c r="H30" s="19" t="str">
        <f t="shared" si="1"/>
        <v/>
      </c>
      <c r="I30" s="18" t="str">
        <f t="shared" si="5"/>
        <v/>
      </c>
      <c r="J30" s="17" t="str">
        <f t="shared" si="2"/>
        <v/>
      </c>
      <c r="K30" s="16" t="str">
        <f t="shared" si="3"/>
        <v>~</v>
      </c>
    </row>
    <row r="31" spans="1:19" x14ac:dyDescent="0.25">
      <c r="A31" t="e">
        <f t="shared" si="4"/>
        <v>#N/A</v>
      </c>
      <c r="B31" t="s">
        <v>48</v>
      </c>
      <c r="C31" t="s">
        <v>49</v>
      </c>
      <c r="D31">
        <f>VLOOKUP(C31,Lookups!$E$2:$F$47,2,FALSE)</f>
        <v>0.7</v>
      </c>
      <c r="E31" s="30"/>
      <c r="F31" s="29" t="str">
        <f t="shared" si="0"/>
        <v/>
      </c>
      <c r="G31" t="str">
        <f>IF(F31="","",_xlfn.RANK.EQ(F31,$F$7:$F$34,1)+COUNTIF($F$7:F31,F31)-1)</f>
        <v/>
      </c>
      <c r="H31" s="19" t="str">
        <f t="shared" si="1"/>
        <v/>
      </c>
      <c r="I31" s="18" t="str">
        <f t="shared" si="5"/>
        <v/>
      </c>
      <c r="J31" s="17" t="str">
        <f t="shared" si="2"/>
        <v/>
      </c>
      <c r="K31" s="16" t="str">
        <f t="shared" si="3"/>
        <v>~</v>
      </c>
    </row>
    <row r="32" spans="1:19" x14ac:dyDescent="0.25">
      <c r="A32" t="e">
        <f t="shared" si="4"/>
        <v>#N/A</v>
      </c>
      <c r="B32" t="s">
        <v>50</v>
      </c>
      <c r="C32" t="s">
        <v>27</v>
      </c>
      <c r="D32">
        <f>VLOOKUP(C32,Lookups!$E$2:$F$47,2,FALSE)</f>
        <v>0.86</v>
      </c>
      <c r="E32" s="30"/>
      <c r="F32" s="29" t="str">
        <f t="shared" si="0"/>
        <v/>
      </c>
      <c r="G32" t="str">
        <f>IF(F32="","",_xlfn.RANK.EQ(F32,$F$7:$F$34,1)+COUNTIF($F$7:F32,F32)-1)</f>
        <v/>
      </c>
      <c r="H32" s="19" t="str">
        <f t="shared" si="1"/>
        <v/>
      </c>
      <c r="I32" s="18" t="str">
        <f t="shared" si="5"/>
        <v/>
      </c>
      <c r="J32" s="17" t="str">
        <f t="shared" si="2"/>
        <v/>
      </c>
      <c r="K32" s="16" t="str">
        <f t="shared" si="3"/>
        <v>~</v>
      </c>
    </row>
    <row r="33" spans="1:11" x14ac:dyDescent="0.25">
      <c r="A33" t="e">
        <f t="shared" si="4"/>
        <v>#N/A</v>
      </c>
      <c r="B33" t="s">
        <v>38</v>
      </c>
      <c r="C33" t="s">
        <v>31</v>
      </c>
      <c r="D33">
        <f>VLOOKUP(C33,Lookups!$E$2:$F$47,2,FALSE)</f>
        <v>0.82</v>
      </c>
      <c r="E33" s="30"/>
      <c r="F33" s="29" t="str">
        <f t="shared" si="0"/>
        <v/>
      </c>
      <c r="G33" t="str">
        <f>IF(F33="","",_xlfn.RANK.EQ(F33,$F$7:$F$34,1)+COUNTIF($F$7:F33,F33)-1)</f>
        <v/>
      </c>
      <c r="H33" s="19" t="str">
        <f t="shared" si="1"/>
        <v/>
      </c>
      <c r="I33" s="18" t="str">
        <f t="shared" si="5"/>
        <v/>
      </c>
      <c r="J33" s="17" t="str">
        <f t="shared" si="2"/>
        <v/>
      </c>
      <c r="K33" s="16" t="str">
        <f t="shared" si="3"/>
        <v>~</v>
      </c>
    </row>
    <row r="34" spans="1:11" x14ac:dyDescent="0.25">
      <c r="A34" t="e">
        <f t="shared" si="4"/>
        <v>#N/A</v>
      </c>
      <c r="B34" t="s">
        <v>55</v>
      </c>
      <c r="C34" t="s">
        <v>45</v>
      </c>
      <c r="D34">
        <f>VLOOKUP(C34,Lookups!$E$2:$F$47,2,FALSE)</f>
        <v>0.67</v>
      </c>
      <c r="E34" s="30"/>
      <c r="F34" s="29" t="str">
        <f t="shared" si="0"/>
        <v/>
      </c>
      <c r="G34" t="str">
        <f>IF(F34="","",_xlfn.RANK.EQ(F34,$F$7:$F$34,1)+COUNTIF($F$7:F34,F34)-1)</f>
        <v/>
      </c>
      <c r="H34" s="19" t="str">
        <f t="shared" si="1"/>
        <v/>
      </c>
      <c r="I34" s="18" t="str">
        <f t="shared" si="5"/>
        <v/>
      </c>
      <c r="J34" s="17" t="str">
        <f t="shared" si="2"/>
        <v/>
      </c>
      <c r="K34" s="16" t="str">
        <f t="shared" si="3"/>
        <v>~</v>
      </c>
    </row>
    <row r="35" spans="1:11" x14ac:dyDescent="0.25">
      <c r="E35" s="26"/>
    </row>
    <row r="36" spans="1:11" x14ac:dyDescent="0.25">
      <c r="A36" t="s">
        <v>53</v>
      </c>
      <c r="E36" s="26"/>
    </row>
    <row r="37" spans="1:11" ht="30" x14ac:dyDescent="0.25">
      <c r="A37" t="s">
        <v>8</v>
      </c>
      <c r="B37" t="s">
        <v>9</v>
      </c>
      <c r="C37" t="s">
        <v>10</v>
      </c>
      <c r="D37" t="s">
        <v>54</v>
      </c>
      <c r="E37" s="27" t="s">
        <v>95</v>
      </c>
      <c r="F37" s="24" t="s">
        <v>94</v>
      </c>
      <c r="G37" s="24" t="s">
        <v>8</v>
      </c>
      <c r="H37" s="23" t="s">
        <v>93</v>
      </c>
      <c r="I37" s="22" t="s">
        <v>92</v>
      </c>
      <c r="J37" s="21" t="s">
        <v>91</v>
      </c>
      <c r="K37" s="20" t="s">
        <v>90</v>
      </c>
    </row>
    <row r="38" spans="1:11" x14ac:dyDescent="0.25">
      <c r="A38">
        <v>1</v>
      </c>
      <c r="B38" t="s">
        <v>55</v>
      </c>
      <c r="C38" t="s">
        <v>109</v>
      </c>
      <c r="D38">
        <f>VLOOKUP(C38,Lookups!$E$2:$F$47,2,FALSE)</f>
        <v>0.7</v>
      </c>
      <c r="E38" s="30"/>
      <c r="F38" s="29" t="str">
        <f>IF(E38="","",E38*D38)</f>
        <v/>
      </c>
      <c r="G38" t="str">
        <f>IF(F38="","",_xlfn.RANK.EQ(F38,$F$38:$F$61,1)+COUNTIF($F$38:F61,F38)-1)</f>
        <v/>
      </c>
      <c r="H38" s="19" t="str">
        <f t="shared" ref="H38:H61" si="12">IFERROR((1000+200*(AVERAGE($F$38:$F$61)-F38)/_xlfn.STDEV.P($F$38:$F$61)),"")</f>
        <v/>
      </c>
      <c r="I38" s="18" t="str">
        <f t="shared" ref="I38:I61" si="13">IFERROR(((1000*SMALL($F$38:$F$61,1)/F38)),"")</f>
        <v/>
      </c>
      <c r="J38" s="17" t="str">
        <f t="shared" ref="J38:J61" si="14">IF(E38="","",IF(F38&gt;=2*SMALL($F$38:$F$61,1),0,1000-((F38-SMALL($F$7:$F$61,1))/SMALL($F$38:$F$61,1)*100)))</f>
        <v/>
      </c>
      <c r="K38" s="16" t="str">
        <f>IFERROR((1000-MINUTE(F38-SMALL($F$38:$F$61,1))),"~")</f>
        <v>~</v>
      </c>
    </row>
    <row r="39" spans="1:11" x14ac:dyDescent="0.25">
      <c r="A39">
        <v>2</v>
      </c>
      <c r="B39" t="s">
        <v>57</v>
      </c>
      <c r="C39" t="s">
        <v>49</v>
      </c>
      <c r="D39">
        <f>VLOOKUP(C39,Lookups!$E$2:$F$47,2,FALSE)</f>
        <v>0.7</v>
      </c>
      <c r="E39" s="30"/>
      <c r="F39" s="29" t="str">
        <f>IF(E39="","",E39*D39)</f>
        <v/>
      </c>
      <c r="G39" t="str">
        <f>IF(F39="","",_xlfn.RANK.EQ(F39,$F$38:$F$61,1)+COUNTIF($F$38:F62,F39)-1)</f>
        <v/>
      </c>
      <c r="H39" s="19" t="str">
        <f t="shared" si="12"/>
        <v/>
      </c>
      <c r="I39" s="18" t="str">
        <f t="shared" si="13"/>
        <v/>
      </c>
      <c r="J39" s="17" t="str">
        <f t="shared" si="14"/>
        <v/>
      </c>
      <c r="K39" s="16" t="str">
        <f t="shared" ref="K39:K61" si="15">IFERROR((1000-MINUTE(F39-SMALL($F$38:$F$61,1))),"~")</f>
        <v>~</v>
      </c>
    </row>
    <row r="40" spans="1:11" x14ac:dyDescent="0.25">
      <c r="A40">
        <v>3</v>
      </c>
      <c r="B40" t="s">
        <v>67</v>
      </c>
      <c r="C40" t="s">
        <v>34</v>
      </c>
      <c r="D40">
        <f>VLOOKUP(C40,Lookups!$E$2:$F$47,2,FALSE)</f>
        <v>0.8</v>
      </c>
      <c r="E40" s="30">
        <v>5.395833333333333E-2</v>
      </c>
      <c r="F40" s="29">
        <f t="shared" ref="F40:F61" si="16">IF(E40="","",E40*D40)</f>
        <v>4.3166666666666666E-2</v>
      </c>
      <c r="G40">
        <f>IF(F40="","",_xlfn.RANK.EQ(F40,$F$38:$F$61,1)+COUNTIF($F$38:F63,F40)-1)</f>
        <v>8</v>
      </c>
      <c r="H40" s="19">
        <f t="shared" si="12"/>
        <v>820.90506097587263</v>
      </c>
      <c r="I40" s="18">
        <f t="shared" si="13"/>
        <v>612.26941226941233</v>
      </c>
      <c r="J40" s="17">
        <f t="shared" si="14"/>
        <v>936.6732062780269</v>
      </c>
      <c r="K40" s="16">
        <f t="shared" si="15"/>
        <v>976</v>
      </c>
    </row>
    <row r="41" spans="1:11" x14ac:dyDescent="0.25">
      <c r="A41">
        <v>4</v>
      </c>
      <c r="B41" t="s">
        <v>65</v>
      </c>
      <c r="C41" t="s">
        <v>63</v>
      </c>
      <c r="D41">
        <f>VLOOKUP(C41,Lookups!$E$2:$F$47,2,FALSE)</f>
        <v>0.62</v>
      </c>
      <c r="E41" s="30">
        <v>4.462962962962963E-2</v>
      </c>
      <c r="F41" s="29">
        <f t="shared" si="16"/>
        <v>2.7670370370370369E-2</v>
      </c>
      <c r="G41">
        <f>IF(F41="","",_xlfn.RANK.EQ(F41,$F$38:$F$61,1)+COUNTIF($F$38:F64,F41)-1)</f>
        <v>2</v>
      </c>
      <c r="H41" s="19">
        <f t="shared" si="12"/>
        <v>1251.7188232795852</v>
      </c>
      <c r="I41" s="18">
        <f t="shared" si="13"/>
        <v>955.15995181367964</v>
      </c>
      <c r="J41" s="17">
        <f t="shared" si="14"/>
        <v>995.30549327354265</v>
      </c>
      <c r="K41" s="16">
        <f t="shared" si="15"/>
        <v>999</v>
      </c>
    </row>
    <row r="42" spans="1:11" x14ac:dyDescent="0.25">
      <c r="A42">
        <v>5</v>
      </c>
      <c r="B42" t="s">
        <v>112</v>
      </c>
      <c r="C42" t="s">
        <v>17</v>
      </c>
      <c r="D42">
        <f>VLOOKUP(C42,Lookups!$E$2:$F$47,2,FALSE)</f>
        <v>0.7</v>
      </c>
      <c r="E42" s="30"/>
      <c r="F42" s="29" t="str">
        <f t="shared" si="16"/>
        <v/>
      </c>
      <c r="G42" t="str">
        <f>IF(F42="","",_xlfn.RANK.EQ(F42,$F$38:$F$61,1)+COUNTIF($F$38:F65,F42)-1)</f>
        <v/>
      </c>
      <c r="H42" s="19" t="str">
        <f t="shared" si="12"/>
        <v/>
      </c>
      <c r="I42" s="18" t="str">
        <f t="shared" si="13"/>
        <v/>
      </c>
      <c r="J42" s="17" t="str">
        <f t="shared" si="14"/>
        <v/>
      </c>
      <c r="K42" s="16" t="str">
        <f t="shared" si="15"/>
        <v>~</v>
      </c>
    </row>
    <row r="43" spans="1:11" x14ac:dyDescent="0.25">
      <c r="A43">
        <v>6</v>
      </c>
      <c r="B43" t="s">
        <v>118</v>
      </c>
      <c r="C43" t="s">
        <v>47</v>
      </c>
      <c r="D43">
        <f>VLOOKUP(C43,Lookups!$E$2:$F$47,2,FALSE)</f>
        <v>0.8</v>
      </c>
      <c r="E43" s="30">
        <v>6.2013888888888889E-2</v>
      </c>
      <c r="F43" s="29">
        <f t="shared" si="16"/>
        <v>4.9611111111111113E-2</v>
      </c>
      <c r="G43">
        <f>IF(F43="","",_xlfn.RANK.EQ(F43,$F$38:$F$61,1)+COUNTIF($F$38:F66,F43)-1)</f>
        <v>10</v>
      </c>
      <c r="H43" s="19">
        <f t="shared" si="12"/>
        <v>641.74254988398445</v>
      </c>
      <c r="I43" s="18">
        <f t="shared" si="13"/>
        <v>532.7360955580441</v>
      </c>
      <c r="J43" s="17">
        <f t="shared" si="14"/>
        <v>912.28979820627796</v>
      </c>
      <c r="K43" s="16">
        <f t="shared" si="15"/>
        <v>967</v>
      </c>
    </row>
    <row r="44" spans="1:11" x14ac:dyDescent="0.25">
      <c r="A44">
        <v>7</v>
      </c>
      <c r="B44" t="s">
        <v>116</v>
      </c>
      <c r="C44" t="s">
        <v>117</v>
      </c>
      <c r="D44">
        <f>VLOOKUP(C44,Lookups!$E$2:$F$47,2,FALSE)</f>
        <v>0.89</v>
      </c>
      <c r="E44" s="30">
        <v>4.1377314814814818E-2</v>
      </c>
      <c r="F44" s="29">
        <f t="shared" si="16"/>
        <v>3.6825810185185187E-2</v>
      </c>
      <c r="G44">
        <f>IF(F44="","",_xlfn.RANK.EQ(F44,$F$38:$F$61,1)+COUNTIF($F$38:F67,F44)-1)</f>
        <v>7</v>
      </c>
      <c r="H44" s="19">
        <f t="shared" si="12"/>
        <v>997.18771489413928</v>
      </c>
      <c r="I44" s="18">
        <f t="shared" si="13"/>
        <v>717.69309342343047</v>
      </c>
      <c r="J44" s="17">
        <f t="shared" si="14"/>
        <v>960.66467558856505</v>
      </c>
      <c r="K44" s="16">
        <f t="shared" si="15"/>
        <v>986</v>
      </c>
    </row>
    <row r="45" spans="1:11" x14ac:dyDescent="0.25">
      <c r="A45">
        <v>8</v>
      </c>
      <c r="B45" t="s">
        <v>114</v>
      </c>
      <c r="C45" t="s">
        <v>31</v>
      </c>
      <c r="D45">
        <f>VLOOKUP(C45,Lookups!$E$2:$F$47,2,FALSE)</f>
        <v>0.82</v>
      </c>
      <c r="E45" s="30">
        <v>3.9907407407407412E-2</v>
      </c>
      <c r="F45" s="29">
        <f t="shared" si="16"/>
        <v>3.2724074074074079E-2</v>
      </c>
      <c r="G45">
        <f>IF(F45="","",_xlfn.RANK.EQ(F45,$F$38:$F$61,1)+COUNTIF($F$38:F68,F45)-1)</f>
        <v>3</v>
      </c>
      <c r="H45" s="19">
        <f t="shared" si="12"/>
        <v>1111.2204058170096</v>
      </c>
      <c r="I45" s="18">
        <f t="shared" si="13"/>
        <v>807.65095353969775</v>
      </c>
      <c r="J45" s="17">
        <f t="shared" si="14"/>
        <v>976.18413677130047</v>
      </c>
      <c r="K45" s="16">
        <f t="shared" si="15"/>
        <v>991</v>
      </c>
    </row>
    <row r="46" spans="1:11" x14ac:dyDescent="0.25">
      <c r="A46">
        <v>9</v>
      </c>
      <c r="B46" t="s">
        <v>124</v>
      </c>
      <c r="C46" t="s">
        <v>34</v>
      </c>
      <c r="D46">
        <f>VLOOKUP(C46,Lookups!$E$2:$F$47,2,FALSE)</f>
        <v>0.8</v>
      </c>
      <c r="E46" s="30"/>
      <c r="F46" s="29" t="str">
        <f t="shared" ref="F46:F49" si="17">IF(E46="","",E46*D46)</f>
        <v/>
      </c>
      <c r="G46" t="str">
        <f>IF(F46="","",_xlfn.RANK.EQ(F46,$F$38:$F$61,1)+COUNTIF($F$38:F69,F46)-1)</f>
        <v/>
      </c>
      <c r="H46" s="19" t="str">
        <f t="shared" ref="H46:H49" si="18">IFERROR((1000+200*(AVERAGE($F$38:$F$61)-F46)/_xlfn.STDEV.P($F$38:$F$61)),"")</f>
        <v/>
      </c>
      <c r="I46" s="18" t="str">
        <f t="shared" ref="I46:I49" si="19">IFERROR(((1000*SMALL($F$38:$F$61,1)/F46)),"")</f>
        <v/>
      </c>
      <c r="J46" s="17" t="str">
        <f t="shared" ref="J46:J49" si="20">IF(E46="","",IF(F46&gt;=2*SMALL($F$38:$F$61,1),0,1000-((F46-SMALL($F$7:$F$61,1))/SMALL($F$38:$F$61,1)*100)))</f>
        <v/>
      </c>
      <c r="K46" s="16" t="str">
        <f t="shared" ref="K46:K49" si="21">IFERROR((1000-MINUTE(F46-SMALL($F$38:$F$61,1))),"~")</f>
        <v>~</v>
      </c>
    </row>
    <row r="47" spans="1:11" x14ac:dyDescent="0.25">
      <c r="B47" t="s">
        <v>104</v>
      </c>
      <c r="C47" t="s">
        <v>47</v>
      </c>
      <c r="E47" s="30"/>
      <c r="F47" s="29" t="str">
        <f t="shared" si="17"/>
        <v/>
      </c>
      <c r="G47" t="str">
        <f>IF(F47="","",_xlfn.RANK.EQ(F47,$F$38:$F$61,1)+COUNTIF($F$38:F70,F47)-1)</f>
        <v/>
      </c>
      <c r="H47" s="19" t="str">
        <f t="shared" si="18"/>
        <v/>
      </c>
      <c r="I47" s="18" t="str">
        <f t="shared" si="19"/>
        <v/>
      </c>
      <c r="J47" s="17" t="str">
        <f t="shared" si="20"/>
        <v/>
      </c>
      <c r="K47" s="16" t="str">
        <f t="shared" si="21"/>
        <v>~</v>
      </c>
    </row>
    <row r="48" spans="1:11" x14ac:dyDescent="0.25">
      <c r="B48" t="s">
        <v>157</v>
      </c>
      <c r="C48" t="s">
        <v>156</v>
      </c>
      <c r="E48" s="30"/>
      <c r="F48" s="29" t="str">
        <f t="shared" si="17"/>
        <v/>
      </c>
      <c r="G48" t="str">
        <f>IF(F48="","",_xlfn.RANK.EQ(F48,$F$38:$F$61,1)+COUNTIF($F$38:F71,F48)-1)</f>
        <v/>
      </c>
      <c r="H48" s="19" t="str">
        <f t="shared" si="18"/>
        <v/>
      </c>
      <c r="I48" s="18" t="str">
        <f t="shared" si="19"/>
        <v/>
      </c>
      <c r="J48" s="17" t="str">
        <f t="shared" si="20"/>
        <v/>
      </c>
      <c r="K48" s="16" t="str">
        <f t="shared" si="21"/>
        <v>~</v>
      </c>
    </row>
    <row r="49" spans="1:11" x14ac:dyDescent="0.25">
      <c r="A49">
        <v>10</v>
      </c>
      <c r="B49" t="s">
        <v>102</v>
      </c>
      <c r="C49" t="s">
        <v>103</v>
      </c>
      <c r="D49">
        <f>VLOOKUP(C49,Lookups!$E$2:$F$47,2,FALSE)</f>
        <v>0.92</v>
      </c>
      <c r="E49" s="30"/>
      <c r="F49" s="29" t="str">
        <f t="shared" si="17"/>
        <v/>
      </c>
      <c r="G49" t="str">
        <f>IF(F49="","",_xlfn.RANK.EQ(F49,$F$38:$F$61,1)+COUNTIF($F$38:F72,F49)-1)</f>
        <v/>
      </c>
      <c r="H49" s="19" t="str">
        <f t="shared" si="18"/>
        <v/>
      </c>
      <c r="I49" s="18" t="str">
        <f t="shared" si="19"/>
        <v/>
      </c>
      <c r="J49" s="17" t="str">
        <f t="shared" si="20"/>
        <v/>
      </c>
      <c r="K49" s="16" t="str">
        <f t="shared" si="21"/>
        <v>~</v>
      </c>
    </row>
    <row r="50" spans="1:11" x14ac:dyDescent="0.25">
      <c r="A50">
        <v>11</v>
      </c>
      <c r="B50" t="s">
        <v>106</v>
      </c>
      <c r="C50" t="s">
        <v>107</v>
      </c>
      <c r="D50">
        <f>VLOOKUP(C50,Lookups!$E$2:$F$47,2,FALSE)</f>
        <v>0.92</v>
      </c>
      <c r="E50" s="30">
        <v>3.6979166666666667E-2</v>
      </c>
      <c r="F50" s="29">
        <f t="shared" si="16"/>
        <v>3.4020833333333333E-2</v>
      </c>
      <c r="G50">
        <f>IF(F50="","",_xlfn.RANK.EQ(F50,$F$38:$F$61,1)+COUNTIF($F$38:F75,F50)-1)</f>
        <v>4</v>
      </c>
      <c r="H50" s="19">
        <f t="shared" si="12"/>
        <v>1075.1690988077871</v>
      </c>
      <c r="I50" s="18">
        <f t="shared" si="13"/>
        <v>776.8660270803565</v>
      </c>
      <c r="J50" s="17">
        <f t="shared" si="14"/>
        <v>971.27767656950675</v>
      </c>
      <c r="K50" s="16">
        <f t="shared" si="15"/>
        <v>990</v>
      </c>
    </row>
    <row r="51" spans="1:11" x14ac:dyDescent="0.25">
      <c r="A51">
        <v>12</v>
      </c>
      <c r="B51" t="s">
        <v>42</v>
      </c>
      <c r="C51" t="s">
        <v>43</v>
      </c>
      <c r="D51">
        <f>VLOOKUP(C51,Lookups!$E$2:$F$47,2,FALSE)</f>
        <v>0.64</v>
      </c>
      <c r="E51" s="30">
        <v>4.1296296296296296E-2</v>
      </c>
      <c r="F51" s="29">
        <f t="shared" si="16"/>
        <v>2.6429629629629629E-2</v>
      </c>
      <c r="G51">
        <f>IF(F51="","",_xlfn.RANK.EQ(F51,$F$38:$F$61,1)+COUNTIF($F$38:F76,F51)-1)</f>
        <v>1</v>
      </c>
      <c r="H51" s="19">
        <f t="shared" si="12"/>
        <v>1286.2127550127934</v>
      </c>
      <c r="I51" s="18">
        <f t="shared" si="13"/>
        <v>1000</v>
      </c>
      <c r="J51" s="17">
        <f t="shared" si="14"/>
        <v>1000</v>
      </c>
      <c r="K51" s="16">
        <f t="shared" si="15"/>
        <v>1000</v>
      </c>
    </row>
    <row r="52" spans="1:11" x14ac:dyDescent="0.25">
      <c r="B52" t="s">
        <v>76</v>
      </c>
      <c r="C52" t="s">
        <v>19</v>
      </c>
      <c r="D52">
        <f>VLOOKUP(C52,Lookups!$E$2:$F$47,2,FALSE)</f>
        <v>0.63</v>
      </c>
      <c r="E52" s="30"/>
      <c r="F52" s="29" t="str">
        <f t="shared" ref="F52:F53" si="22">IF(E52="","",E52*D52)</f>
        <v/>
      </c>
      <c r="G52" t="str">
        <f>IF(F52="","",_xlfn.RANK.EQ(F52,$F$38:$F$61,1)+COUNTIF($F$38:F77,F52)-1)</f>
        <v/>
      </c>
      <c r="H52" s="19" t="str">
        <f t="shared" ref="H52:H53" si="23">IFERROR((1000+200*(AVERAGE($F$38:$F$61)-F52)/_xlfn.STDEV.P($F$38:$F$61)),"")</f>
        <v/>
      </c>
      <c r="I52" s="18" t="str">
        <f t="shared" ref="I52:I53" si="24">IFERROR(((1000*SMALL($F$38:$F$61,1)/F52)),"")</f>
        <v/>
      </c>
      <c r="J52" s="17" t="str">
        <f t="shared" ref="J52:J53" si="25">IF(E52="","",IF(F52&gt;=2*SMALL($F$38:$F$61,1),0,1000-((F52-SMALL($F$7:$F$61,1))/SMALL($F$38:$F$61,1)*100)))</f>
        <v/>
      </c>
      <c r="K52" s="16" t="str">
        <f t="shared" ref="K52:K53" si="26">IFERROR((1000-MINUTE(F52-SMALL($F$38:$F$61,1))),"~")</f>
        <v>~</v>
      </c>
    </row>
    <row r="53" spans="1:11" x14ac:dyDescent="0.25">
      <c r="B53" t="s">
        <v>25</v>
      </c>
      <c r="C53" t="s">
        <v>26</v>
      </c>
      <c r="D53">
        <f>VLOOKUP(C53,Lookups!$E$2:$F$47,2,FALSE)</f>
        <v>0.67</v>
      </c>
      <c r="E53" s="30"/>
      <c r="F53" s="29" t="str">
        <f t="shared" si="22"/>
        <v/>
      </c>
      <c r="G53" t="str">
        <f>IF(F53="","",_xlfn.RANK.EQ(F53,$F$38:$F$61,1)+COUNTIF($F$38:F78,F53)-1)</f>
        <v/>
      </c>
      <c r="H53" s="19" t="str">
        <f t="shared" si="23"/>
        <v/>
      </c>
      <c r="I53" s="18" t="str">
        <f t="shared" si="24"/>
        <v/>
      </c>
      <c r="J53" s="17" t="str">
        <f t="shared" si="25"/>
        <v/>
      </c>
      <c r="K53" s="16" t="str">
        <f t="shared" si="26"/>
        <v>~</v>
      </c>
    </row>
    <row r="54" spans="1:11" x14ac:dyDescent="0.25">
      <c r="A54">
        <v>13</v>
      </c>
      <c r="B54" t="s">
        <v>60</v>
      </c>
      <c r="C54" t="s">
        <v>34</v>
      </c>
      <c r="D54">
        <f>VLOOKUP(C54,Lookups!$E$2:$F$47,2,FALSE)</f>
        <v>0.8</v>
      </c>
      <c r="E54" s="30">
        <v>4.5509259259259256E-2</v>
      </c>
      <c r="F54" s="29">
        <f t="shared" si="16"/>
        <v>3.6407407407407409E-2</v>
      </c>
      <c r="G54">
        <f>IF(F54="","",_xlfn.RANK.EQ(F54,$F$38:$F$61,1)+COUNTIF($F$38:F77,F54)-1)</f>
        <v>6</v>
      </c>
      <c r="H54" s="19">
        <f t="shared" si="12"/>
        <v>1008.8197637015599</v>
      </c>
      <c r="I54" s="18">
        <f t="shared" si="13"/>
        <v>725.94099694811803</v>
      </c>
      <c r="J54" s="17">
        <f t="shared" si="14"/>
        <v>962.24775784753365</v>
      </c>
      <c r="K54" s="16">
        <f t="shared" si="15"/>
        <v>986</v>
      </c>
    </row>
    <row r="55" spans="1:11" x14ac:dyDescent="0.25">
      <c r="A55">
        <v>14</v>
      </c>
      <c r="B55" t="s">
        <v>115</v>
      </c>
      <c r="C55" t="s">
        <v>47</v>
      </c>
      <c r="D55">
        <f>VLOOKUP(C55,Lookups!$E$2:$F$47,2,FALSE)</f>
        <v>0.8</v>
      </c>
      <c r="E55" s="30">
        <v>4.2615740740740739E-2</v>
      </c>
      <c r="F55" s="29">
        <f t="shared" si="16"/>
        <v>3.4092592592592591E-2</v>
      </c>
      <c r="G55">
        <f>IF(F55="","",_xlfn.RANK.EQ(F55,$F$38:$F$61,1)+COUNTIF($F$38:F78,F55)-1)</f>
        <v>5</v>
      </c>
      <c r="H55" s="19">
        <f t="shared" si="12"/>
        <v>1073.174113950083</v>
      </c>
      <c r="I55" s="18">
        <f t="shared" si="13"/>
        <v>775.2308527973928</v>
      </c>
      <c r="J55" s="17">
        <f t="shared" si="14"/>
        <v>971.00616591928247</v>
      </c>
      <c r="K55" s="16">
        <f t="shared" si="15"/>
        <v>989</v>
      </c>
    </row>
    <row r="56" spans="1:11" x14ac:dyDescent="0.25">
      <c r="A56">
        <v>15</v>
      </c>
      <c r="B56" t="s">
        <v>61</v>
      </c>
      <c r="C56" t="s">
        <v>39</v>
      </c>
      <c r="D56">
        <f>VLOOKUP(C56,Lookups!$E$2:$F$47,2,FALSE)</f>
        <v>0.9</v>
      </c>
      <c r="E56" s="30"/>
      <c r="F56" s="29" t="str">
        <f t="shared" si="16"/>
        <v/>
      </c>
      <c r="G56" t="str">
        <f>IF(F56="","",_xlfn.RANK.EQ(F56,$F$38:$F$61,1)+COUNTIF($F$38:F79,F56)-1)</f>
        <v/>
      </c>
      <c r="H56" s="19" t="str">
        <f t="shared" si="12"/>
        <v/>
      </c>
      <c r="I56" s="18" t="str">
        <f t="shared" si="13"/>
        <v/>
      </c>
      <c r="J56" s="17" t="str">
        <f t="shared" si="14"/>
        <v/>
      </c>
      <c r="K56" s="16" t="str">
        <f t="shared" si="15"/>
        <v>~</v>
      </c>
    </row>
    <row r="57" spans="1:11" x14ac:dyDescent="0.25">
      <c r="A57">
        <v>16</v>
      </c>
      <c r="B57" t="s">
        <v>6</v>
      </c>
      <c r="C57" t="s">
        <v>19</v>
      </c>
      <c r="D57">
        <f>VLOOKUP(C57,Lookups!$E$2:$F$47,2,FALSE)</f>
        <v>0.63</v>
      </c>
      <c r="E57" s="30"/>
      <c r="F57" s="29" t="str">
        <f t="shared" si="16"/>
        <v/>
      </c>
      <c r="G57" t="str">
        <f>IF(F57="","",_xlfn.RANK.EQ(F57,$F$38:$F$61,1)+COUNTIF($F$38:F80,F57)-1)</f>
        <v/>
      </c>
      <c r="H57" s="19" t="str">
        <f t="shared" si="12"/>
        <v/>
      </c>
      <c r="I57" s="18" t="str">
        <f t="shared" si="13"/>
        <v/>
      </c>
      <c r="J57" s="17" t="str">
        <f t="shared" si="14"/>
        <v/>
      </c>
      <c r="K57" s="16" t="str">
        <f t="shared" si="15"/>
        <v>~</v>
      </c>
    </row>
    <row r="58" spans="1:11" x14ac:dyDescent="0.25">
      <c r="A58">
        <v>17</v>
      </c>
      <c r="B58" t="s">
        <v>118</v>
      </c>
      <c r="C58" t="s">
        <v>47</v>
      </c>
      <c r="D58">
        <f>VLOOKUP(C58,Lookups!$E$2:$F$47,2,FALSE)</f>
        <v>0.8</v>
      </c>
      <c r="E58" s="30"/>
      <c r="F58" s="29" t="str">
        <f t="shared" si="16"/>
        <v/>
      </c>
      <c r="G58" t="str">
        <f>IF(F58="","",_xlfn.RANK.EQ(F58,$F$38:$F$61,1)+COUNTIF($F$38:F81,F58)-1)</f>
        <v/>
      </c>
      <c r="H58" s="19" t="str">
        <f t="shared" si="12"/>
        <v/>
      </c>
      <c r="I58" s="18" t="str">
        <f t="shared" si="13"/>
        <v/>
      </c>
      <c r="J58" s="17" t="str">
        <f t="shared" si="14"/>
        <v/>
      </c>
      <c r="K58" s="16" t="str">
        <f t="shared" si="15"/>
        <v>~</v>
      </c>
    </row>
    <row r="59" spans="1:11" x14ac:dyDescent="0.25">
      <c r="A59">
        <v>18</v>
      </c>
      <c r="B59" t="s">
        <v>58</v>
      </c>
      <c r="C59" t="s">
        <v>59</v>
      </c>
      <c r="D59">
        <f>VLOOKUP(C59,Lookups!$E$2:$F$47,2,FALSE)</f>
        <v>0.77</v>
      </c>
      <c r="E59" s="30">
        <v>6.0127314814814814E-2</v>
      </c>
      <c r="F59" s="29">
        <f t="shared" si="16"/>
        <v>4.6298032407407409E-2</v>
      </c>
      <c r="G59">
        <f>IF(F59="","",_xlfn.RANK.EQ(F59,$F$38:$F$61,1)+COUNTIF($F$38:F82,F59)-1)</f>
        <v>9</v>
      </c>
      <c r="H59" s="19">
        <f t="shared" si="12"/>
        <v>733.84971367718299</v>
      </c>
      <c r="I59" s="18">
        <f t="shared" si="13"/>
        <v>570.85859280276986</v>
      </c>
      <c r="J59" s="17">
        <f t="shared" si="14"/>
        <v>924.8252697589686</v>
      </c>
      <c r="K59" s="16">
        <f t="shared" si="15"/>
        <v>972</v>
      </c>
    </row>
    <row r="60" spans="1:11" x14ac:dyDescent="0.25">
      <c r="A60">
        <v>19</v>
      </c>
      <c r="B60" t="s">
        <v>41</v>
      </c>
      <c r="C60" t="s">
        <v>17</v>
      </c>
      <c r="D60">
        <f>VLOOKUP(C60,Lookups!$E$2:$F$47,2,FALSE)</f>
        <v>0.7</v>
      </c>
      <c r="E60" s="30"/>
      <c r="F60" s="29" t="str">
        <f t="shared" si="16"/>
        <v/>
      </c>
      <c r="G60" t="str">
        <f>IF(F60="","",_xlfn.RANK.EQ(F60,$F$38:$F$61,1)+COUNTIF($F$38:F83,F60)-1)</f>
        <v/>
      </c>
      <c r="H60" s="19" t="str">
        <f t="shared" si="12"/>
        <v/>
      </c>
      <c r="I60" s="18" t="str">
        <f t="shared" si="13"/>
        <v/>
      </c>
      <c r="J60" s="17" t="str">
        <f t="shared" si="14"/>
        <v/>
      </c>
      <c r="K60" s="16" t="str">
        <f t="shared" si="15"/>
        <v>~</v>
      </c>
    </row>
    <row r="61" spans="1:11" x14ac:dyDescent="0.25">
      <c r="A61">
        <v>19</v>
      </c>
      <c r="B61" t="s">
        <v>111</v>
      </c>
      <c r="C61" t="s">
        <v>39</v>
      </c>
      <c r="D61">
        <f>VLOOKUP(C61,Lookups!$E$2:$F$47,2,FALSE)</f>
        <v>0.9</v>
      </c>
      <c r="E61" s="30"/>
      <c r="F61" s="29" t="str">
        <f t="shared" si="16"/>
        <v/>
      </c>
      <c r="G61" t="str">
        <f>IF(F61="","",_xlfn.RANK.EQ(F61,$F$38:$F$61,1)+COUNTIF($F$38:F83,F61)-1)</f>
        <v/>
      </c>
      <c r="H61" s="19" t="str">
        <f t="shared" si="12"/>
        <v/>
      </c>
      <c r="I61" s="18" t="str">
        <f t="shared" si="13"/>
        <v/>
      </c>
      <c r="J61" s="17" t="str">
        <f t="shared" si="14"/>
        <v/>
      </c>
      <c r="K61" s="16" t="str">
        <f t="shared" si="15"/>
        <v>~</v>
      </c>
    </row>
    <row r="62" spans="1:11" x14ac:dyDescent="0.25">
      <c r="E62" s="26"/>
    </row>
    <row r="63" spans="1:11" x14ac:dyDescent="0.25">
      <c r="A63" t="s">
        <v>64</v>
      </c>
      <c r="E63" s="26"/>
    </row>
    <row r="64" spans="1:11" ht="30" x14ac:dyDescent="0.25">
      <c r="A64" t="s">
        <v>8</v>
      </c>
      <c r="B64" t="s">
        <v>9</v>
      </c>
      <c r="C64" t="s">
        <v>10</v>
      </c>
      <c r="D64" t="s">
        <v>54</v>
      </c>
      <c r="E64" s="27" t="s">
        <v>95</v>
      </c>
      <c r="F64" s="24" t="s">
        <v>94</v>
      </c>
      <c r="G64" s="24" t="s">
        <v>8</v>
      </c>
      <c r="H64" s="23" t="s">
        <v>93</v>
      </c>
      <c r="I64" s="22" t="s">
        <v>92</v>
      </c>
      <c r="J64" s="21" t="s">
        <v>91</v>
      </c>
      <c r="K64" s="20" t="s">
        <v>90</v>
      </c>
    </row>
    <row r="65" spans="1:11" x14ac:dyDescent="0.25">
      <c r="A65">
        <v>1</v>
      </c>
      <c r="B65" t="s">
        <v>44</v>
      </c>
      <c r="C65" t="s">
        <v>45</v>
      </c>
      <c r="D65">
        <f>VLOOKUP(C65,Lookups!$E$2:$F$47,2,FALSE)</f>
        <v>0.67</v>
      </c>
      <c r="E65" s="30">
        <v>1.9814814814814816E-2</v>
      </c>
      <c r="F65" s="29">
        <f>IF(E65="","",E65*D65)</f>
        <v>1.3275925925925927E-2</v>
      </c>
      <c r="G65">
        <f>IF(F65="","",_xlfn.RANK.EQ(F65,$F$65:$F$82,1)+COUNTIF($F$65:F82,F65)-1)</f>
        <v>2</v>
      </c>
      <c r="H65" s="19">
        <f>IFERROR((1000+200*(AVERAGE($F$65:$F$82)-F65)/_xlfn.STDEV.P($F$65:$F$82)),"")</f>
        <v>1136.331579812638</v>
      </c>
      <c r="I65" s="18">
        <f>IFERROR(((1000*SMALL($F$65:$F$82,1)/F65)),"")</f>
        <v>953.41051750592828</v>
      </c>
      <c r="J65" s="17">
        <f>IF(E65="","",IF(F65&gt;=2*SMALL($F$65:$F$82,1),0,1000-((F65-SMALL($F$65:$F$82,1))/SMALL($F$65:$F$82,1)*100)))</f>
        <v>995.11338697878568</v>
      </c>
      <c r="K65" s="16">
        <f>IFERROR((1000-MINUTE(F65-SMALL($F$65:$F$82,1))),"~")</f>
        <v>1000</v>
      </c>
    </row>
    <row r="66" spans="1:11" x14ac:dyDescent="0.25">
      <c r="A66">
        <v>2</v>
      </c>
      <c r="B66" t="s">
        <v>65</v>
      </c>
      <c r="C66" t="s">
        <v>108</v>
      </c>
      <c r="D66">
        <f>VLOOKUP(C66,Lookups!$E$2:$F$47,2,FALSE)</f>
        <v>0.65</v>
      </c>
      <c r="E66" s="30"/>
      <c r="F66" s="29" t="str">
        <f t="shared" ref="F66:F82" si="27">IF(E66="","",E66*D66)</f>
        <v/>
      </c>
      <c r="G66" t="str">
        <f>IF(F66="","",_xlfn.RANK.EQ(F66,$F$65:$F$82,1)+COUNTIF($F$65:F83,F66)-1)</f>
        <v/>
      </c>
      <c r="H66" s="19" t="str">
        <f t="shared" ref="H66:H82" si="28">IFERROR((1000+200*(AVERAGE($F$65:$F$82)-F66)/_xlfn.STDEV.P($F$65:$F$82)),"")</f>
        <v/>
      </c>
      <c r="I66" s="18" t="str">
        <f t="shared" ref="I66:I82" si="29">IFERROR(((1000*SMALL($F$65:$F$82,1)/F66)),"")</f>
        <v/>
      </c>
      <c r="J66" s="17" t="str">
        <f t="shared" ref="J66:J82" si="30">IF(E66="","",IF(F66&gt;=2*SMALL($F$65:$F$82,1),0,1000-((F66-SMALL($F$65:$F$82,1))/SMALL($F$65:$F$82,1)*100)))</f>
        <v/>
      </c>
      <c r="K66" s="16" t="str">
        <f t="shared" ref="K66:K82" si="31">IFERROR((1000-MINUTE(F66-SMALL($F$65:$F$82,1))),"~")</f>
        <v>~</v>
      </c>
    </row>
    <row r="67" spans="1:11" x14ac:dyDescent="0.25">
      <c r="A67">
        <v>3</v>
      </c>
      <c r="B67" t="s">
        <v>67</v>
      </c>
      <c r="C67" t="s">
        <v>34</v>
      </c>
      <c r="D67">
        <f>VLOOKUP(C67,Lookups!$E$2:$F$47,2,FALSE)</f>
        <v>0.8</v>
      </c>
      <c r="E67" s="30"/>
      <c r="F67" s="29" t="str">
        <f t="shared" si="27"/>
        <v/>
      </c>
      <c r="G67" t="str">
        <f>IF(F67="","",_xlfn.RANK.EQ(F67,$F$65:$F$82,1)+COUNTIF($F$65:F84,F67)-1)</f>
        <v/>
      </c>
      <c r="H67" s="19" t="str">
        <f t="shared" si="28"/>
        <v/>
      </c>
      <c r="I67" s="18" t="str">
        <f t="shared" si="29"/>
        <v/>
      </c>
      <c r="J67" s="17" t="str">
        <f t="shared" si="30"/>
        <v/>
      </c>
      <c r="K67" s="16" t="str">
        <f t="shared" si="31"/>
        <v>~</v>
      </c>
    </row>
    <row r="68" spans="1:11" x14ac:dyDescent="0.25">
      <c r="A68">
        <v>4</v>
      </c>
      <c r="B68" t="s">
        <v>111</v>
      </c>
      <c r="C68" t="s">
        <v>39</v>
      </c>
      <c r="D68">
        <f>VLOOKUP(C68,Lookups!$E$2:$F$47,2,FALSE)</f>
        <v>0.9</v>
      </c>
      <c r="E68" s="30"/>
      <c r="F68" s="29" t="str">
        <f t="shared" si="27"/>
        <v/>
      </c>
      <c r="G68" t="str">
        <f>IF(F68="","",_xlfn.RANK.EQ(F68,$F$65:$F$82,1)+COUNTIF($F$65:F85,F68)-1)</f>
        <v/>
      </c>
      <c r="H68" s="19" t="str">
        <f t="shared" si="28"/>
        <v/>
      </c>
      <c r="I68" s="18" t="str">
        <f t="shared" si="29"/>
        <v/>
      </c>
      <c r="J68" s="17" t="str">
        <f t="shared" si="30"/>
        <v/>
      </c>
      <c r="K68" s="16" t="str">
        <f t="shared" si="31"/>
        <v>~</v>
      </c>
    </row>
    <row r="69" spans="1:11" x14ac:dyDescent="0.25">
      <c r="B69" t="s">
        <v>58</v>
      </c>
      <c r="C69" t="s">
        <v>59</v>
      </c>
      <c r="D69">
        <f>VLOOKUP(C69,Lookups!$E$2:$F$47,2,FALSE)</f>
        <v>0.77</v>
      </c>
      <c r="E69" s="30"/>
      <c r="F69" s="29" t="str">
        <f t="shared" ref="F69:F72" si="32">IF(E69="","",E69*D69)</f>
        <v/>
      </c>
      <c r="G69" t="str">
        <f>IF(F69="","",_xlfn.RANK.EQ(F69,$F$65:$F$82,1)+COUNTIF($F$65:F86,F69)-1)</f>
        <v/>
      </c>
      <c r="H69" s="19" t="str">
        <f t="shared" ref="H69:H72" si="33">IFERROR((1000+200*(AVERAGE($F$65:$F$82)-F69)/_xlfn.STDEV.P($F$65:$F$82)),"")</f>
        <v/>
      </c>
      <c r="I69" s="18" t="str">
        <f t="shared" ref="I69:I72" si="34">IFERROR(((1000*SMALL($F$65:$F$82,1)/F69)),"")</f>
        <v/>
      </c>
      <c r="J69" s="17" t="str">
        <f t="shared" ref="J69:J72" si="35">IF(E69="","",IF(F69&gt;=2*SMALL($F$65:$F$82,1),0,1000-((F69-SMALL($F$65:$F$82,1))/SMALL($F$65:$F$82,1)*100)))</f>
        <v/>
      </c>
      <c r="K69" s="16" t="str">
        <f t="shared" ref="K69:K72" si="36">IFERROR((1000-MINUTE(F69-SMALL($F$65:$F$82,1))),"~")</f>
        <v>~</v>
      </c>
    </row>
    <row r="70" spans="1:11" x14ac:dyDescent="0.25">
      <c r="B70" t="s">
        <v>112</v>
      </c>
      <c r="C70" t="s">
        <v>17</v>
      </c>
      <c r="D70">
        <f>VLOOKUP(C70,Lookups!$E$2:$F$47,2,FALSE)</f>
        <v>0.7</v>
      </c>
      <c r="E70" s="30"/>
      <c r="F70" s="29" t="str">
        <f t="shared" si="32"/>
        <v/>
      </c>
      <c r="G70" t="str">
        <f>IF(F70="","",_xlfn.RANK.EQ(F70,$F$65:$F$82,1)+COUNTIF($F$65:F87,F70)-1)</f>
        <v/>
      </c>
      <c r="H70" s="19" t="str">
        <f t="shared" si="33"/>
        <v/>
      </c>
      <c r="I70" s="18" t="str">
        <f t="shared" si="34"/>
        <v/>
      </c>
      <c r="J70" s="17" t="str">
        <f t="shared" si="35"/>
        <v/>
      </c>
      <c r="K70" s="16" t="str">
        <f t="shared" si="36"/>
        <v>~</v>
      </c>
    </row>
    <row r="71" spans="1:11" x14ac:dyDescent="0.25">
      <c r="B71" t="s">
        <v>113</v>
      </c>
      <c r="C71" t="s">
        <v>47</v>
      </c>
      <c r="D71">
        <f>VLOOKUP(C71,Lookups!$E$2:$F$47,2,FALSE)</f>
        <v>0.8</v>
      </c>
      <c r="E71" s="30"/>
      <c r="F71" s="29" t="str">
        <f t="shared" si="32"/>
        <v/>
      </c>
      <c r="G71" t="str">
        <f>IF(F71="","",_xlfn.RANK.EQ(F71,$F$65:$F$82,1)+COUNTIF($F$65:F88,F71)-1)</f>
        <v/>
      </c>
      <c r="H71" s="19" t="str">
        <f t="shared" si="33"/>
        <v/>
      </c>
      <c r="I71" s="18" t="str">
        <f t="shared" si="34"/>
        <v/>
      </c>
      <c r="J71" s="17" t="str">
        <f t="shared" si="35"/>
        <v/>
      </c>
      <c r="K71" s="16" t="str">
        <f t="shared" si="36"/>
        <v>~</v>
      </c>
    </row>
    <row r="72" spans="1:11" x14ac:dyDescent="0.25">
      <c r="D72" t="e">
        <f>VLOOKUP(C72,Lookups!$E$2:$F$47,2,FALSE)</f>
        <v>#N/A</v>
      </c>
      <c r="E72" s="30"/>
      <c r="F72" s="29" t="str">
        <f t="shared" si="32"/>
        <v/>
      </c>
      <c r="G72" t="str">
        <f>IF(F72="","",_xlfn.RANK.EQ(F72,$F$65:$F$82,1)+COUNTIF($F$65:F89,F72)-1)</f>
        <v/>
      </c>
      <c r="H72" s="19" t="str">
        <f t="shared" si="33"/>
        <v/>
      </c>
      <c r="I72" s="18" t="str">
        <f t="shared" si="34"/>
        <v/>
      </c>
      <c r="J72" s="17" t="str">
        <f t="shared" si="35"/>
        <v/>
      </c>
      <c r="K72" s="16" t="str">
        <f t="shared" si="36"/>
        <v>~</v>
      </c>
    </row>
    <row r="73" spans="1:11" x14ac:dyDescent="0.25">
      <c r="A73">
        <v>5</v>
      </c>
      <c r="B73" t="s">
        <v>125</v>
      </c>
      <c r="C73" t="s">
        <v>49</v>
      </c>
      <c r="D73">
        <f>VLOOKUP(C73,Lookups!$E$2:$F$47,2,FALSE)</f>
        <v>0.7</v>
      </c>
      <c r="E73" s="30"/>
      <c r="F73" s="29" t="str">
        <f t="shared" si="27"/>
        <v/>
      </c>
      <c r="G73" t="str">
        <f>IF(F73="","",_xlfn.RANK.EQ(F73,$F$65:$F$82,1)+COUNTIF($F$65:F86,F73)-1)</f>
        <v/>
      </c>
      <c r="H73" s="19" t="str">
        <f t="shared" si="28"/>
        <v/>
      </c>
      <c r="I73" s="18" t="str">
        <f t="shared" si="29"/>
        <v/>
      </c>
      <c r="J73" s="17" t="str">
        <f t="shared" si="30"/>
        <v/>
      </c>
      <c r="K73" s="16" t="str">
        <f t="shared" si="31"/>
        <v>~</v>
      </c>
    </row>
    <row r="74" spans="1:11" x14ac:dyDescent="0.25">
      <c r="A74">
        <v>6</v>
      </c>
      <c r="B74" t="s">
        <v>69</v>
      </c>
      <c r="C74" t="s">
        <v>70</v>
      </c>
      <c r="D74">
        <f>VLOOKUP(C74,Lookups!$E$2:$F$47,2,FALSE)</f>
        <v>0.71</v>
      </c>
      <c r="E74" s="30"/>
      <c r="F74" s="29" t="str">
        <f t="shared" si="27"/>
        <v/>
      </c>
      <c r="G74" t="str">
        <f>IF(F74="","",_xlfn.RANK.EQ(F74,$F$65:$F$82,1)+COUNTIF($F$65:F87,F74)-1)</f>
        <v/>
      </c>
      <c r="H74" s="19" t="str">
        <f t="shared" si="28"/>
        <v/>
      </c>
      <c r="I74" s="18" t="str">
        <f t="shared" si="29"/>
        <v/>
      </c>
      <c r="J74" s="17" t="str">
        <f t="shared" si="30"/>
        <v/>
      </c>
      <c r="K74" s="16" t="str">
        <f t="shared" si="31"/>
        <v>~</v>
      </c>
    </row>
    <row r="75" spans="1:11" x14ac:dyDescent="0.25">
      <c r="A75">
        <v>7</v>
      </c>
      <c r="B75" t="s">
        <v>71</v>
      </c>
      <c r="C75" t="s">
        <v>72</v>
      </c>
      <c r="D75">
        <f>VLOOKUP(C75,Lookups!$E$2:$F$47,2,FALSE)</f>
        <v>0.6</v>
      </c>
      <c r="E75" s="30"/>
      <c r="F75" s="29" t="str">
        <f t="shared" si="27"/>
        <v/>
      </c>
      <c r="G75" t="str">
        <f>IF(F75="","",_xlfn.RANK.EQ(F75,$F$65:$F$82,1)+COUNTIF($F$65:F88,F75)-1)</f>
        <v/>
      </c>
      <c r="H75" s="19" t="str">
        <f t="shared" si="28"/>
        <v/>
      </c>
      <c r="I75" s="18" t="str">
        <f t="shared" si="29"/>
        <v/>
      </c>
      <c r="J75" s="17" t="str">
        <f t="shared" si="30"/>
        <v/>
      </c>
      <c r="K75" s="16" t="str">
        <f t="shared" si="31"/>
        <v>~</v>
      </c>
    </row>
    <row r="76" spans="1:11" x14ac:dyDescent="0.25">
      <c r="A76">
        <v>8</v>
      </c>
      <c r="B76" t="s">
        <v>62</v>
      </c>
      <c r="C76" t="s">
        <v>63</v>
      </c>
      <c r="D76">
        <f>VLOOKUP(C76,Lookups!$E$2:$F$47,2,FALSE)</f>
        <v>0.62</v>
      </c>
      <c r="E76" s="30">
        <v>6.2731481481481485E-2</v>
      </c>
      <c r="F76" s="29">
        <f t="shared" si="27"/>
        <v>3.8893518518518522E-2</v>
      </c>
      <c r="G76">
        <f>IF(F76="","",_xlfn.RANK.EQ(F76,$F$65:$F$82,1)+COUNTIF($F$65:F89,F76)-1)</f>
        <v>3</v>
      </c>
      <c r="H76" s="19">
        <f t="shared" si="28"/>
        <v>717.21763277649711</v>
      </c>
      <c r="I76" s="18">
        <f t="shared" si="29"/>
        <v>325.43744792286634</v>
      </c>
      <c r="J76" s="17">
        <f t="shared" si="30"/>
        <v>0</v>
      </c>
      <c r="K76" s="16">
        <f t="shared" si="31"/>
        <v>963</v>
      </c>
    </row>
    <row r="77" spans="1:11" x14ac:dyDescent="0.25">
      <c r="A77">
        <v>9</v>
      </c>
      <c r="B77" t="s">
        <v>119</v>
      </c>
      <c r="C77" t="s">
        <v>47</v>
      </c>
      <c r="D77">
        <f>VLOOKUP(C77,Lookups!$E$2:$F$47,2,FALSE)</f>
        <v>0.8</v>
      </c>
      <c r="E77" s="30">
        <v>1.5821759259259261E-2</v>
      </c>
      <c r="F77" s="29">
        <f t="shared" si="27"/>
        <v>1.2657407407407409E-2</v>
      </c>
      <c r="G77">
        <f>IF(F77="","",_xlfn.RANK.EQ(F77,$F$65:$F$82,1)+COUNTIF($F$65:F90,F77)-1)</f>
        <v>1</v>
      </c>
      <c r="H77" s="19">
        <f t="shared" si="28"/>
        <v>1146.4507874108649</v>
      </c>
      <c r="I77" s="18">
        <f t="shared" si="29"/>
        <v>1000</v>
      </c>
      <c r="J77" s="17">
        <f t="shared" si="30"/>
        <v>1000</v>
      </c>
      <c r="K77" s="16">
        <f t="shared" si="31"/>
        <v>1000</v>
      </c>
    </row>
    <row r="78" spans="1:11" x14ac:dyDescent="0.25">
      <c r="A78">
        <v>10</v>
      </c>
      <c r="B78" t="s">
        <v>75</v>
      </c>
      <c r="C78" t="s">
        <v>21</v>
      </c>
      <c r="D78">
        <f>VLOOKUP(C78,Lookups!$E$2:$F$47,2,FALSE)</f>
        <v>0.84</v>
      </c>
      <c r="E78" s="30"/>
      <c r="F78" s="29" t="str">
        <f t="shared" si="27"/>
        <v/>
      </c>
      <c r="G78" t="str">
        <f>IF(F78="","",_xlfn.RANK.EQ(F78,$F$65:$F$82,1)+COUNTIF($F$65:F92,F78)-1)</f>
        <v/>
      </c>
      <c r="H78" s="19" t="str">
        <f t="shared" si="28"/>
        <v/>
      </c>
      <c r="I78" s="18" t="str">
        <f t="shared" si="29"/>
        <v/>
      </c>
      <c r="J78" s="17" t="str">
        <f t="shared" si="30"/>
        <v/>
      </c>
      <c r="K78" s="16" t="str">
        <f t="shared" si="31"/>
        <v>~</v>
      </c>
    </row>
    <row r="79" spans="1:11" x14ac:dyDescent="0.25">
      <c r="A79">
        <v>11</v>
      </c>
      <c r="B79" t="s">
        <v>76</v>
      </c>
      <c r="C79" t="s">
        <v>19</v>
      </c>
      <c r="D79">
        <f>VLOOKUP(C79,Lookups!$E$2:$F$47,2,FALSE)</f>
        <v>0.63</v>
      </c>
      <c r="E79" s="30"/>
      <c r="F79" s="29" t="str">
        <f t="shared" si="27"/>
        <v/>
      </c>
      <c r="G79" t="str">
        <f>IF(F79="","",_xlfn.RANK.EQ(F79,$F$65:$F$82,1)+COUNTIF($F$65:F93,F79)-1)</f>
        <v/>
      </c>
      <c r="H79" s="19" t="str">
        <f t="shared" si="28"/>
        <v/>
      </c>
      <c r="I79" s="18" t="str">
        <f t="shared" si="29"/>
        <v/>
      </c>
      <c r="J79" s="17" t="str">
        <f t="shared" si="30"/>
        <v/>
      </c>
      <c r="K79" s="16" t="str">
        <f t="shared" si="31"/>
        <v>~</v>
      </c>
    </row>
    <row r="80" spans="1:11" x14ac:dyDescent="0.25">
      <c r="A80">
        <v>12</v>
      </c>
      <c r="B80" t="s">
        <v>77</v>
      </c>
      <c r="C80" t="s">
        <v>49</v>
      </c>
      <c r="D80">
        <f>VLOOKUP(C80,Lookups!$E$2:$F$47,2,FALSE)</f>
        <v>0.7</v>
      </c>
      <c r="E80" s="30"/>
      <c r="F80" s="29" t="str">
        <f t="shared" si="27"/>
        <v/>
      </c>
      <c r="G80" t="str">
        <f>IF(F80="","",_xlfn.RANK.EQ(F80,$F$65:$F$82,1)+COUNTIF($F$65:F94,F80)-1)</f>
        <v/>
      </c>
      <c r="H80" s="19" t="str">
        <f t="shared" si="28"/>
        <v/>
      </c>
      <c r="I80" s="18" t="str">
        <f t="shared" si="29"/>
        <v/>
      </c>
      <c r="J80" s="17" t="str">
        <f t="shared" si="30"/>
        <v/>
      </c>
      <c r="K80" s="16" t="str">
        <f t="shared" si="31"/>
        <v>~</v>
      </c>
    </row>
    <row r="81" spans="1:11" x14ac:dyDescent="0.25">
      <c r="A81">
        <v>13</v>
      </c>
      <c r="B81" t="s">
        <v>57</v>
      </c>
      <c r="C81" t="s">
        <v>49</v>
      </c>
      <c r="D81">
        <f>VLOOKUP(C81,Lookups!$E$2:$F$47,2,FALSE)</f>
        <v>0.7</v>
      </c>
      <c r="E81" s="30"/>
      <c r="F81" s="29" t="str">
        <f t="shared" si="27"/>
        <v/>
      </c>
      <c r="G81" t="str">
        <f>IF(F81="","",_xlfn.RANK.EQ(F81,$F$65:$F$82,1)+COUNTIF($F$65:F95,F81)-1)</f>
        <v/>
      </c>
      <c r="H81" s="19" t="str">
        <f t="shared" si="28"/>
        <v/>
      </c>
      <c r="I81" s="18" t="str">
        <f t="shared" si="29"/>
        <v/>
      </c>
      <c r="J81" s="17" t="str">
        <f t="shared" si="30"/>
        <v/>
      </c>
      <c r="K81" s="16" t="str">
        <f t="shared" si="31"/>
        <v>~</v>
      </c>
    </row>
    <row r="82" spans="1:11" x14ac:dyDescent="0.25">
      <c r="A82">
        <v>14</v>
      </c>
      <c r="B82" t="s">
        <v>79</v>
      </c>
      <c r="C82" t="s">
        <v>80</v>
      </c>
      <c r="D82">
        <f>VLOOKUP(C82,Lookups!$E$2:$F$47,2,FALSE)</f>
        <v>0.53</v>
      </c>
      <c r="E82" s="30"/>
      <c r="F82" s="29" t="str">
        <f t="shared" si="27"/>
        <v/>
      </c>
      <c r="G82" t="str">
        <f>IF(F82="","",_xlfn.RANK.EQ(F82,$F$65:$F$82,1)+COUNTIF($F$65:F96,F82)-1)</f>
        <v/>
      </c>
      <c r="H82" s="19" t="str">
        <f t="shared" si="28"/>
        <v/>
      </c>
      <c r="I82" s="18" t="str">
        <f t="shared" si="29"/>
        <v/>
      </c>
      <c r="J82" s="17" t="str">
        <f t="shared" si="30"/>
        <v/>
      </c>
      <c r="K82" s="16" t="str">
        <f t="shared" si="31"/>
        <v>~</v>
      </c>
    </row>
    <row r="83" spans="1:11" x14ac:dyDescent="0.25">
      <c r="E83" s="26"/>
    </row>
    <row r="84" spans="1:11" x14ac:dyDescent="0.25">
      <c r="A84" t="s">
        <v>81</v>
      </c>
      <c r="E84" s="26"/>
    </row>
    <row r="85" spans="1:11" ht="30" x14ac:dyDescent="0.25">
      <c r="A85" t="s">
        <v>8</v>
      </c>
      <c r="B85" t="s">
        <v>9</v>
      </c>
      <c r="C85" t="s">
        <v>10</v>
      </c>
      <c r="D85" t="s">
        <v>54</v>
      </c>
      <c r="E85" s="27" t="s">
        <v>95</v>
      </c>
      <c r="F85" s="24" t="s">
        <v>94</v>
      </c>
      <c r="G85" s="24" t="s">
        <v>8</v>
      </c>
      <c r="H85" s="23" t="s">
        <v>93</v>
      </c>
      <c r="I85" s="22" t="s">
        <v>92</v>
      </c>
      <c r="J85" s="21" t="s">
        <v>91</v>
      </c>
      <c r="K85" s="20" t="s">
        <v>90</v>
      </c>
    </row>
    <row r="86" spans="1:11" x14ac:dyDescent="0.25">
      <c r="A86">
        <v>1</v>
      </c>
      <c r="B86" t="s">
        <v>65</v>
      </c>
      <c r="C86" t="s">
        <v>108</v>
      </c>
      <c r="D86">
        <f>VLOOKUP(C86,Lookups!$E$2:$F$47,2,FALSE)</f>
        <v>0.65</v>
      </c>
      <c r="E86" s="30"/>
      <c r="F86" s="29" t="str">
        <f>IF(E86="","",E86*D86)</f>
        <v/>
      </c>
      <c r="G86" t="str">
        <f>IF(F86="","",_xlfn.RANK.EQ(F86,$F$86:$F$97,1)+COUNTIF($F$86:F97,F86)-1)</f>
        <v/>
      </c>
      <c r="H86" s="19" t="str">
        <f>IFERROR((1000+200*(AVERAGE($F$86:$F$97)-F86)/_xlfn.STDEV.P($F$86:$F$97)),"")</f>
        <v/>
      </c>
      <c r="I86" s="18" t="str">
        <f>IFERROR(((1000*SMALL($F$86:$F$97,1)/F86)),"")</f>
        <v/>
      </c>
      <c r="J86" s="17" t="str">
        <f>IF(E86="","",IF(F86&gt;=2*SMALL($F$86:$F$97,1),0,1000-((F86-SMALL($F$86:$F$97,1))/SMALL($F$86:$F$97,1)*100)))</f>
        <v/>
      </c>
      <c r="K86" s="16" t="str">
        <f>IFERROR((1000-MINUTE(F86-SMALL($F$86:$F$97,1))),"~")</f>
        <v>~</v>
      </c>
    </row>
    <row r="87" spans="1:11" x14ac:dyDescent="0.25">
      <c r="A87">
        <v>2</v>
      </c>
      <c r="B87" t="s">
        <v>68</v>
      </c>
      <c r="C87" t="s">
        <v>63</v>
      </c>
      <c r="D87">
        <f>VLOOKUP(C87,Lookups!$E$2:$F$47,2,FALSE)</f>
        <v>0.62</v>
      </c>
      <c r="E87" s="30"/>
      <c r="F87" s="29" t="str">
        <f t="shared" ref="F87:F97" si="37">IF(E87="","",E87*D87)</f>
        <v/>
      </c>
      <c r="G87" t="str">
        <f>IF(F87="","",_xlfn.RANK.EQ(F87,$F$86:$F$97,1)+COUNTIF($F$86:F98,F87)-1)</f>
        <v/>
      </c>
      <c r="H87" s="19" t="str">
        <f t="shared" ref="H87:H97" si="38">IFERROR((1000+200*(AVERAGE($F$86:$F$97)-F87)/_xlfn.STDEV.P($F$86:$F$97)),"")</f>
        <v/>
      </c>
      <c r="I87" s="18" t="str">
        <f t="shared" ref="I87:I97" si="39">IFERROR(((1000*SMALL($F$86:$F$97,1)/F87)),"")</f>
        <v/>
      </c>
      <c r="J87" s="17" t="str">
        <f t="shared" ref="J87:J97" si="40">IF(E87="","",IF(F87&gt;=2*SMALL($F$86:$F$97,1),0,1000-((F87-SMALL($F$86:$F$97,1))/SMALL($F$86:$F$97,1)*100)))</f>
        <v/>
      </c>
      <c r="K87" s="16" t="str">
        <f t="shared" ref="K87:K97" si="41">IFERROR((1000-MINUTE(F87-SMALL($F$86:$F$97,1))),"~")</f>
        <v>~</v>
      </c>
    </row>
    <row r="88" spans="1:11" x14ac:dyDescent="0.25">
      <c r="A88">
        <v>3</v>
      </c>
      <c r="B88" t="s">
        <v>120</v>
      </c>
      <c r="C88" t="s">
        <v>72</v>
      </c>
      <c r="D88">
        <f>VLOOKUP(C88,Lookups!$E$2:$F$47,2,FALSE)</f>
        <v>0.6</v>
      </c>
      <c r="E88" s="30">
        <v>1.7164351851851851E-2</v>
      </c>
      <c r="F88" s="29">
        <f t="shared" si="37"/>
        <v>1.0298611111111111E-2</v>
      </c>
      <c r="G88">
        <f>IF(F88="","",_xlfn.RANK.EQ(F88,$F$86:$F$97,1)+COUNTIF($F$86:F99,F88)-1)</f>
        <v>1</v>
      </c>
      <c r="H88" s="19">
        <f t="shared" si="38"/>
        <v>1221.2418893358331</v>
      </c>
      <c r="I88" s="18">
        <f t="shared" si="39"/>
        <v>1000</v>
      </c>
      <c r="J88" s="17">
        <f t="shared" si="40"/>
        <v>1000</v>
      </c>
      <c r="K88" s="16">
        <f t="shared" si="41"/>
        <v>1000</v>
      </c>
    </row>
    <row r="89" spans="1:11" x14ac:dyDescent="0.25">
      <c r="A89">
        <v>4</v>
      </c>
      <c r="B89" t="s">
        <v>122</v>
      </c>
      <c r="C89" t="s">
        <v>66</v>
      </c>
      <c r="D89">
        <f>VLOOKUP(C89,Lookups!$E$2:$F$47,2,FALSE)</f>
        <v>0.57999999999999996</v>
      </c>
      <c r="E89" s="30">
        <v>2.9826388888888892E-2</v>
      </c>
      <c r="F89" s="29">
        <f t="shared" si="37"/>
        <v>1.7299305555555557E-2</v>
      </c>
      <c r="G89">
        <f>IF(F89="","",_xlfn.RANK.EQ(F89,$F$86:$F$97,1)+COUNTIF($F$86:F100,F89)-1)</f>
        <v>3</v>
      </c>
      <c r="H89" s="19">
        <f t="shared" si="38"/>
        <v>736.77165117903041</v>
      </c>
      <c r="I89" s="18">
        <f t="shared" si="39"/>
        <v>595.31933683914724</v>
      </c>
      <c r="J89" s="17">
        <f t="shared" si="40"/>
        <v>932.02292650033712</v>
      </c>
      <c r="K89" s="16">
        <f t="shared" si="41"/>
        <v>990</v>
      </c>
    </row>
    <row r="90" spans="1:11" x14ac:dyDescent="0.25">
      <c r="A90">
        <v>4</v>
      </c>
      <c r="B90" t="s">
        <v>112</v>
      </c>
      <c r="C90" t="s">
        <v>17</v>
      </c>
      <c r="D90">
        <f>VLOOKUP(C90,Lookups!$E$2:$F$47,2,FALSE)</f>
        <v>0.7</v>
      </c>
      <c r="E90" s="30"/>
      <c r="F90" s="29" t="str">
        <f t="shared" si="37"/>
        <v/>
      </c>
      <c r="G90" t="str">
        <f>IF(F90="","",_xlfn.RANK.EQ(F90,$F$86:$F$97,1)+COUNTIF($F$86:F101,F90)-1)</f>
        <v/>
      </c>
      <c r="H90" s="19" t="str">
        <f t="shared" si="38"/>
        <v/>
      </c>
      <c r="I90" s="18" t="str">
        <f t="shared" si="39"/>
        <v/>
      </c>
      <c r="J90" s="17" t="str">
        <f t="shared" si="40"/>
        <v/>
      </c>
      <c r="K90" s="16" t="str">
        <f t="shared" si="41"/>
        <v>~</v>
      </c>
    </row>
    <row r="91" spans="1:11" x14ac:dyDescent="0.25">
      <c r="B91" t="s">
        <v>85</v>
      </c>
      <c r="C91" t="s">
        <v>72</v>
      </c>
      <c r="D91">
        <f>VLOOKUP(C91,Lookups!$E$2:$F$47,2,FALSE)</f>
        <v>0.6</v>
      </c>
      <c r="E91" s="30"/>
      <c r="F91" s="29" t="str">
        <f t="shared" ref="F91" si="42">IF(E91="","",E91*D91)</f>
        <v/>
      </c>
      <c r="G91" t="str">
        <f>IF(F91="","",_xlfn.RANK.EQ(F91,$F$86:$F$97,1)+COUNTIF($F$86:F102,F91)-1)</f>
        <v/>
      </c>
      <c r="H91" s="19" t="str">
        <f t="shared" ref="H91" si="43">IFERROR((1000+200*(AVERAGE($F$86:$F$97)-F91)/_xlfn.STDEV.P($F$86:$F$97)),"")</f>
        <v/>
      </c>
      <c r="I91" s="18" t="str">
        <f t="shared" ref="I91" si="44">IFERROR(((1000*SMALL($F$86:$F$97,1)/F91)),"")</f>
        <v/>
      </c>
      <c r="J91" s="17" t="str">
        <f t="shared" ref="J91" si="45">IF(E91="","",IF(F91&gt;=2*SMALL($F$86:$F$97,1),0,1000-((F91-SMALL($F$86:$F$97,1))/SMALL($F$86:$F$97,1)*100)))</f>
        <v/>
      </c>
      <c r="K91" s="16" t="str">
        <f t="shared" ref="K91" si="46">IFERROR((1000-MINUTE(F91-SMALL($F$86:$F$97,1))),"~")</f>
        <v>~</v>
      </c>
    </row>
    <row r="92" spans="1:11" x14ac:dyDescent="0.25">
      <c r="A92">
        <v>6</v>
      </c>
      <c r="B92" t="s">
        <v>121</v>
      </c>
      <c r="C92" t="s">
        <v>72</v>
      </c>
      <c r="D92">
        <f>VLOOKUP(C92,Lookups!$E$2:$F$47,2,FALSE)</f>
        <v>0.6</v>
      </c>
      <c r="E92" s="30">
        <v>2.148148148148148E-2</v>
      </c>
      <c r="F92" s="29">
        <f t="shared" si="37"/>
        <v>1.2888888888888887E-2</v>
      </c>
      <c r="G92">
        <f>IF(F92="","",_xlfn.RANK.EQ(F92,$F$86:$F$97,1)+COUNTIF($F$86:F102,F92)-1)</f>
        <v>2</v>
      </c>
      <c r="H92" s="19">
        <f t="shared" si="38"/>
        <v>1041.9864594851365</v>
      </c>
      <c r="I92" s="18">
        <f t="shared" si="39"/>
        <v>799.03017241379314</v>
      </c>
      <c r="J92" s="17">
        <f t="shared" si="40"/>
        <v>974.84828051247473</v>
      </c>
      <c r="K92" s="16">
        <f t="shared" si="41"/>
        <v>997</v>
      </c>
    </row>
    <row r="93" spans="1:11" x14ac:dyDescent="0.25">
      <c r="A93">
        <v>7</v>
      </c>
      <c r="B93" t="s">
        <v>57</v>
      </c>
      <c r="C93" t="s">
        <v>49</v>
      </c>
      <c r="D93">
        <f>VLOOKUP(C93,Lookups!$E$2:$F$47,2,FALSE)</f>
        <v>0.7</v>
      </c>
      <c r="E93" s="30"/>
      <c r="F93" s="29" t="str">
        <f t="shared" si="37"/>
        <v/>
      </c>
      <c r="G93" t="str">
        <f>IF(F93="","",_xlfn.RANK.EQ(F93,$F$86:$F$97,1)+COUNTIF($F$86:F103,F93)-1)</f>
        <v/>
      </c>
      <c r="H93" s="19" t="str">
        <f t="shared" si="38"/>
        <v/>
      </c>
      <c r="I93" s="18" t="str">
        <f t="shared" si="39"/>
        <v/>
      </c>
      <c r="J93" s="17" t="str">
        <f t="shared" si="40"/>
        <v/>
      </c>
      <c r="K93" s="16" t="str">
        <f t="shared" si="41"/>
        <v>~</v>
      </c>
    </row>
    <row r="94" spans="1:11" x14ac:dyDescent="0.25">
      <c r="A94">
        <v>8</v>
      </c>
      <c r="B94" t="s">
        <v>86</v>
      </c>
      <c r="C94" t="s">
        <v>66</v>
      </c>
      <c r="D94">
        <f>VLOOKUP(C94,Lookups!$E$2:$F$47,2,FALSE)</f>
        <v>0.57999999999999996</v>
      </c>
      <c r="E94" s="30"/>
      <c r="F94" s="29" t="str">
        <f t="shared" si="37"/>
        <v/>
      </c>
      <c r="G94" t="str">
        <f>IF(F94="","",_xlfn.RANK.EQ(F94,$F$86:$F$97,1)+COUNTIF($F$86:F104,F94)-1)</f>
        <v/>
      </c>
      <c r="H94" s="19" t="str">
        <f t="shared" si="38"/>
        <v/>
      </c>
      <c r="I94" s="18" t="str">
        <f t="shared" si="39"/>
        <v/>
      </c>
      <c r="J94" s="17" t="str">
        <f t="shared" si="40"/>
        <v/>
      </c>
      <c r="K94" s="16" t="str">
        <f t="shared" si="41"/>
        <v>~</v>
      </c>
    </row>
    <row r="95" spans="1:11" x14ac:dyDescent="0.25">
      <c r="A95">
        <v>9</v>
      </c>
      <c r="B95" t="s">
        <v>77</v>
      </c>
      <c r="C95" t="s">
        <v>34</v>
      </c>
      <c r="D95">
        <f>VLOOKUP(C95,Lookups!$E$2:$F$47,2,FALSE)</f>
        <v>0.8</v>
      </c>
      <c r="E95" s="30"/>
      <c r="F95" s="29" t="str">
        <f t="shared" si="37"/>
        <v/>
      </c>
      <c r="G95" t="str">
        <f>IF(F95="","",_xlfn.RANK.EQ(F95,$F$86:$F$97,1)+COUNTIF($F$86:F105,F95)-1)</f>
        <v/>
      </c>
      <c r="H95" s="19" t="str">
        <f t="shared" si="38"/>
        <v/>
      </c>
      <c r="I95" s="18" t="str">
        <f t="shared" si="39"/>
        <v/>
      </c>
      <c r="J95" s="17" t="str">
        <f t="shared" si="40"/>
        <v/>
      </c>
      <c r="K95" s="16" t="str">
        <f t="shared" si="41"/>
        <v>~</v>
      </c>
    </row>
    <row r="96" spans="1:11" x14ac:dyDescent="0.25">
      <c r="A96">
        <v>9</v>
      </c>
      <c r="B96" t="s">
        <v>83</v>
      </c>
      <c r="C96" t="s">
        <v>66</v>
      </c>
      <c r="D96">
        <f>VLOOKUP(C96,Lookups!$E$2:$F$47,2,FALSE)</f>
        <v>0.57999999999999996</v>
      </c>
      <c r="E96" s="30"/>
      <c r="F96" s="29" t="str">
        <f t="shared" si="37"/>
        <v/>
      </c>
      <c r="G96" t="str">
        <f>IF(F96="","",_xlfn.RANK.EQ(F96,$F$86:$F$97,1)+COUNTIF($F$86:F106,F96)-1)</f>
        <v/>
      </c>
      <c r="H96" s="19" t="str">
        <f t="shared" si="38"/>
        <v/>
      </c>
      <c r="I96" s="18" t="str">
        <f t="shared" si="39"/>
        <v/>
      </c>
      <c r="J96" s="17" t="str">
        <f t="shared" si="40"/>
        <v/>
      </c>
      <c r="K96" s="16" t="str">
        <f t="shared" si="41"/>
        <v>~</v>
      </c>
    </row>
    <row r="97" spans="1:11" x14ac:dyDescent="0.25">
      <c r="A97">
        <v>9</v>
      </c>
      <c r="B97" t="s">
        <v>89</v>
      </c>
      <c r="C97" t="s">
        <v>72</v>
      </c>
      <c r="D97">
        <f>VLOOKUP(C97,Lookups!$E$2:$F$47,2,FALSE)</f>
        <v>0.6</v>
      </c>
      <c r="E97" s="30"/>
      <c r="F97" s="29" t="str">
        <f t="shared" si="37"/>
        <v/>
      </c>
      <c r="G97" t="str">
        <f>IF(F97="","",_xlfn.RANK.EQ(F97,$F$86:$F$97,1)+COUNTIF($F$86:F107,F97)-1)</f>
        <v/>
      </c>
      <c r="H97" s="19" t="str">
        <f t="shared" si="38"/>
        <v/>
      </c>
      <c r="I97" s="18" t="str">
        <f t="shared" si="39"/>
        <v/>
      </c>
      <c r="J97" s="17" t="str">
        <f t="shared" si="40"/>
        <v/>
      </c>
      <c r="K97" s="16" t="str">
        <f t="shared" si="41"/>
        <v>~</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99"/>
  <sheetViews>
    <sheetView topLeftCell="A39" zoomScale="85" zoomScaleNormal="85" workbookViewId="0">
      <selection activeCell="B74" sqref="B74"/>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s>
  <sheetData>
    <row r="2" spans="1:19" x14ac:dyDescent="0.25">
      <c r="E2" s="30">
        <v>7.829861111111111E-2</v>
      </c>
      <c r="F2" s="29">
        <f>E2*D7</f>
        <v>6.2638888888888897E-2</v>
      </c>
    </row>
    <row r="5" spans="1:19" x14ac:dyDescent="0.25">
      <c r="A5" t="s">
        <v>7</v>
      </c>
    </row>
    <row r="6" spans="1:19" ht="30" x14ac:dyDescent="0.25">
      <c r="A6" s="24" t="s">
        <v>8</v>
      </c>
      <c r="B6" s="24" t="s">
        <v>9</v>
      </c>
      <c r="C6" s="24" t="s">
        <v>10</v>
      </c>
      <c r="D6" s="24" t="s">
        <v>12</v>
      </c>
      <c r="E6" s="28" t="s">
        <v>95</v>
      </c>
      <c r="F6" s="24" t="s">
        <v>94</v>
      </c>
      <c r="G6" s="24" t="s">
        <v>8</v>
      </c>
      <c r="H6" s="23" t="s">
        <v>93</v>
      </c>
      <c r="I6" s="22" t="s">
        <v>92</v>
      </c>
      <c r="J6" s="21" t="s">
        <v>91</v>
      </c>
      <c r="K6" s="20" t="s">
        <v>90</v>
      </c>
    </row>
    <row r="7" spans="1:19" x14ac:dyDescent="0.25">
      <c r="A7">
        <v>1</v>
      </c>
      <c r="B7" t="s">
        <v>16</v>
      </c>
      <c r="C7" t="s">
        <v>110</v>
      </c>
      <c r="D7">
        <f>VLOOKUP(C7,Lookups!$E$2:$F$47,2,FALSE)</f>
        <v>0.8</v>
      </c>
      <c r="E7" s="30">
        <v>3.0335648148148143E-2</v>
      </c>
      <c r="F7" s="29">
        <f t="shared" ref="F7:F34" si="0">IF(E7="","",E7*D7)</f>
        <v>2.4268518518518516E-2</v>
      </c>
      <c r="G7">
        <f>IF(F7="","",_xlfn.RANK.EQ(F7,$F$7:$F$34,1)+COUNTIF($F$7:F7,F7)-1)</f>
        <v>1</v>
      </c>
      <c r="H7" s="19">
        <f t="shared" ref="H7:H34" si="1">IFERROR((1000+200*(AVERAGE($F$7:$F$34)-F7)/_xlfn.STDEV.P($F$7:$F$34)),"")</f>
        <v>1294.4864619709615</v>
      </c>
      <c r="I7" s="18">
        <f>IFERROR(((1000*SMALL($F$7:$F$34,1)/F7)),"")</f>
        <v>1000</v>
      </c>
      <c r="J7" s="17">
        <f t="shared" ref="J7:J34" si="2">IF(E7="","",IF(F7&gt;=2*SMALL($F$7:$F$34,1),0,1000-((F7-SMALL($F$7:$F$34,1))/SMALL($F$7:$F$34,1)*100)))</f>
        <v>1000</v>
      </c>
      <c r="K7" s="16">
        <f t="shared" ref="K7:K34" si="3">IFERROR((1000-MINUTE(F7-SMALL($F$7:$F$34,1))),"~")</f>
        <v>1000</v>
      </c>
    </row>
    <row r="8" spans="1:19" x14ac:dyDescent="0.25">
      <c r="A8">
        <v>2</v>
      </c>
      <c r="B8" t="s">
        <v>20</v>
      </c>
      <c r="C8" t="s">
        <v>39</v>
      </c>
      <c r="D8">
        <f>VLOOKUP(C8,Lookups!$E$2:$F$47,2,FALSE)</f>
        <v>0.9</v>
      </c>
      <c r="E8" s="30"/>
      <c r="F8" s="29" t="str">
        <f t="shared" si="0"/>
        <v/>
      </c>
      <c r="G8" t="str">
        <f>IF(F8="","",_xlfn.RANK.EQ(F8,$F$7:$F$34,1)+COUNTIF($F$7:F8,F8)-1)</f>
        <v/>
      </c>
      <c r="H8" s="19" t="str">
        <f t="shared" si="1"/>
        <v/>
      </c>
      <c r="I8" s="18" t="str">
        <f>IFERROR(((1000*SMALL($F$7:$F$34,1)/F8)),"")</f>
        <v/>
      </c>
      <c r="J8" s="17" t="str">
        <f t="shared" si="2"/>
        <v/>
      </c>
      <c r="K8" s="16" t="str">
        <f t="shared" si="3"/>
        <v>~</v>
      </c>
    </row>
    <row r="9" spans="1:19" x14ac:dyDescent="0.25">
      <c r="A9">
        <v>3</v>
      </c>
      <c r="B9" t="s">
        <v>3</v>
      </c>
      <c r="C9" t="s">
        <v>19</v>
      </c>
      <c r="D9">
        <f>VLOOKUP(C9,Lookups!$E$2:$F$47,2,FALSE)</f>
        <v>0.63</v>
      </c>
      <c r="E9" s="30">
        <v>5.3090277777777778E-2</v>
      </c>
      <c r="F9" s="29">
        <f t="shared" si="0"/>
        <v>3.3446875000000001E-2</v>
      </c>
      <c r="G9">
        <f>IF(F9="","",_xlfn.RANK.EQ(F9,$F$7:$F$34,1)+COUNTIF($F$7:F9,F9)-1)</f>
        <v>2</v>
      </c>
      <c r="H9" s="19">
        <f t="shared" si="1"/>
        <v>1152.3887575211243</v>
      </c>
      <c r="I9" s="18">
        <f t="shared" ref="I9:I34" si="4">IFERROR(((1000*SMALL($F$7:$F$34,1)/F9)),"")</f>
        <v>725.58403493655283</v>
      </c>
      <c r="J9" s="17">
        <f t="shared" si="2"/>
        <v>962.17998855398696</v>
      </c>
      <c r="K9" s="16">
        <f t="shared" si="3"/>
        <v>987</v>
      </c>
    </row>
    <row r="10" spans="1:19" x14ac:dyDescent="0.25">
      <c r="A10">
        <v>4</v>
      </c>
      <c r="B10" t="s">
        <v>23</v>
      </c>
      <c r="C10" t="s">
        <v>24</v>
      </c>
      <c r="D10">
        <f>VLOOKUP(C10,Lookups!$E$2:$F$47,2,FALSE)</f>
        <v>0.7</v>
      </c>
      <c r="E10" s="30"/>
      <c r="F10" s="29" t="str">
        <f t="shared" si="0"/>
        <v/>
      </c>
      <c r="G10" t="str">
        <f>IF(F10="","",_xlfn.RANK.EQ(F10,$F$7:$F$34,1)+COUNTIF($F$7:F10,F10)-1)</f>
        <v/>
      </c>
      <c r="H10" s="19" t="str">
        <f t="shared" si="1"/>
        <v/>
      </c>
      <c r="I10" s="18" t="str">
        <f t="shared" si="4"/>
        <v/>
      </c>
      <c r="J10" s="17" t="str">
        <f t="shared" si="2"/>
        <v/>
      </c>
      <c r="K10" s="16" t="str">
        <f t="shared" si="3"/>
        <v>~</v>
      </c>
      <c r="Q10" s="25"/>
    </row>
    <row r="11" spans="1:19" x14ac:dyDescent="0.25">
      <c r="A11">
        <v>5</v>
      </c>
      <c r="B11" t="s">
        <v>6</v>
      </c>
      <c r="C11" t="s">
        <v>19</v>
      </c>
      <c r="D11">
        <f>VLOOKUP(C11,Lookups!$E$2:$F$47,2,FALSE)</f>
        <v>0.63</v>
      </c>
      <c r="E11" s="30">
        <v>5.8171296296296297E-2</v>
      </c>
      <c r="F11" s="29">
        <f t="shared" si="0"/>
        <v>3.6647916666666669E-2</v>
      </c>
      <c r="G11">
        <f>IF(F11="","",_xlfn.RANK.EQ(F11,$F$7:$F$34,1)+COUNTIF($F$7:F11,F11)-1)</f>
        <v>3</v>
      </c>
      <c r="H11" s="19">
        <f t="shared" si="1"/>
        <v>1102.8307921490718</v>
      </c>
      <c r="I11" s="18">
        <f t="shared" si="4"/>
        <v>662.20731560962349</v>
      </c>
      <c r="J11" s="17">
        <f t="shared" si="2"/>
        <v>948.98988935520788</v>
      </c>
      <c r="K11" s="16">
        <f t="shared" si="3"/>
        <v>983</v>
      </c>
      <c r="S11">
        <f t="shared" ref="S11:S17" ca="1" si="5">RANDBETWEEN(45,200)</f>
        <v>54</v>
      </c>
    </row>
    <row r="12" spans="1:19" x14ac:dyDescent="0.25">
      <c r="A12">
        <v>6</v>
      </c>
      <c r="B12" t="s">
        <v>0</v>
      </c>
      <c r="C12" t="s">
        <v>27</v>
      </c>
      <c r="D12">
        <f>VLOOKUP(C12,Lookups!$E$2:$F$47,2,FALSE)</f>
        <v>0.86</v>
      </c>
      <c r="E12" s="30"/>
      <c r="F12" s="29" t="str">
        <f t="shared" si="0"/>
        <v/>
      </c>
      <c r="G12" t="str">
        <f>IF(F12="","",_xlfn.RANK.EQ(F12,$F$7:$F$34,1)+COUNTIF($F$7:F12,F12)-1)</f>
        <v/>
      </c>
      <c r="H12" s="19" t="str">
        <f t="shared" si="1"/>
        <v/>
      </c>
      <c r="I12" s="18" t="str">
        <f t="shared" si="4"/>
        <v/>
      </c>
      <c r="J12" s="17" t="str">
        <f t="shared" si="2"/>
        <v/>
      </c>
      <c r="K12" s="16" t="str">
        <f t="shared" si="3"/>
        <v>~</v>
      </c>
      <c r="S12">
        <f t="shared" ca="1" si="5"/>
        <v>82</v>
      </c>
    </row>
    <row r="13" spans="1:19" x14ac:dyDescent="0.25">
      <c r="A13">
        <v>7</v>
      </c>
      <c r="B13" t="s">
        <v>5</v>
      </c>
      <c r="C13" t="s">
        <v>43</v>
      </c>
      <c r="D13">
        <f>VLOOKUP(C13,Lookups!$E$2:$F$47,2,FALSE)</f>
        <v>0.64</v>
      </c>
      <c r="E13" s="30"/>
      <c r="F13" s="29" t="str">
        <f t="shared" si="0"/>
        <v/>
      </c>
      <c r="G13" t="str">
        <f>IF(F13="","",_xlfn.RANK.EQ(F13,$F$7:$F$34,1)+COUNTIF($F$7:F13,F13)-1)</f>
        <v/>
      </c>
      <c r="H13" s="19" t="str">
        <f t="shared" si="1"/>
        <v/>
      </c>
      <c r="I13" s="18" t="str">
        <f t="shared" si="4"/>
        <v/>
      </c>
      <c r="J13" s="17" t="str">
        <f t="shared" si="2"/>
        <v/>
      </c>
      <c r="K13" s="16" t="str">
        <f t="shared" si="3"/>
        <v>~</v>
      </c>
      <c r="S13">
        <f t="shared" ca="1" si="5"/>
        <v>185</v>
      </c>
    </row>
    <row r="14" spans="1:19" x14ac:dyDescent="0.25">
      <c r="A14">
        <v>8</v>
      </c>
      <c r="B14" t="s">
        <v>29</v>
      </c>
      <c r="C14" t="s">
        <v>39</v>
      </c>
      <c r="D14">
        <f>VLOOKUP(C14,Lookups!$E$2:$F$47,2,FALSE)</f>
        <v>0.9</v>
      </c>
      <c r="E14" s="30">
        <v>6.0162037037037042E-2</v>
      </c>
      <c r="F14" s="29">
        <f t="shared" si="0"/>
        <v>5.4145833333333337E-2</v>
      </c>
      <c r="G14">
        <f>IF(F14="","",_xlfn.RANK.EQ(F14,$F$7:$F$34,1)+COUNTIF($F$7:F14,F14)-1)</f>
        <v>5</v>
      </c>
      <c r="H14" s="19">
        <f t="shared" si="1"/>
        <v>831.93111680909794</v>
      </c>
      <c r="I14" s="18">
        <f t="shared" si="4"/>
        <v>448.20657517848736</v>
      </c>
      <c r="J14" s="17">
        <f t="shared" si="2"/>
        <v>0</v>
      </c>
      <c r="K14" s="16">
        <f t="shared" si="3"/>
        <v>957</v>
      </c>
      <c r="S14">
        <f t="shared" ca="1" si="5"/>
        <v>160</v>
      </c>
    </row>
    <row r="15" spans="1:19" x14ac:dyDescent="0.25">
      <c r="A15">
        <v>9</v>
      </c>
      <c r="B15" t="s">
        <v>30</v>
      </c>
      <c r="C15" t="s">
        <v>21</v>
      </c>
      <c r="D15">
        <f>VLOOKUP(C15,Lookups!$E$2:$F$47,2,FALSE)</f>
        <v>0.84</v>
      </c>
      <c r="E15" s="30"/>
      <c r="F15" s="29" t="str">
        <f t="shared" si="0"/>
        <v/>
      </c>
      <c r="G15" t="str">
        <f>IF(F15="","",_xlfn.RANK.EQ(F15,$F$7:$F$34,1)+COUNTIF($F$7:F15,F15)-1)</f>
        <v/>
      </c>
      <c r="H15" s="19" t="str">
        <f t="shared" si="1"/>
        <v/>
      </c>
      <c r="I15" s="18" t="str">
        <f t="shared" si="4"/>
        <v/>
      </c>
      <c r="J15" s="17" t="str">
        <f t="shared" si="2"/>
        <v/>
      </c>
      <c r="K15" s="16" t="str">
        <f t="shared" si="3"/>
        <v>~</v>
      </c>
      <c r="S15">
        <f t="shared" ca="1" si="5"/>
        <v>193</v>
      </c>
    </row>
    <row r="16" spans="1:19" x14ac:dyDescent="0.25">
      <c r="A16">
        <v>10</v>
      </c>
      <c r="B16" t="s">
        <v>25</v>
      </c>
      <c r="C16" t="s">
        <v>26</v>
      </c>
      <c r="D16">
        <f>VLOOKUP(C16,Lookups!$E$2:$F$47,2,FALSE)</f>
        <v>0.67</v>
      </c>
      <c r="E16" s="30"/>
      <c r="F16" s="29" t="str">
        <f t="shared" si="0"/>
        <v/>
      </c>
      <c r="G16" t="str">
        <f>IF(F16="","",_xlfn.RANK.EQ(F16,$F$7:$F$34,1)+COUNTIF($F$7:F16,F16)-1)</f>
        <v/>
      </c>
      <c r="H16" s="19" t="str">
        <f t="shared" si="1"/>
        <v/>
      </c>
      <c r="I16" s="18" t="str">
        <f t="shared" si="4"/>
        <v/>
      </c>
      <c r="J16" s="17" t="str">
        <f t="shared" si="2"/>
        <v/>
      </c>
      <c r="K16" s="16" t="str">
        <f t="shared" si="3"/>
        <v>~</v>
      </c>
      <c r="S16">
        <f t="shared" ca="1" si="5"/>
        <v>65</v>
      </c>
    </row>
    <row r="17" spans="1:19" x14ac:dyDescent="0.25">
      <c r="A17">
        <v>11</v>
      </c>
      <c r="B17" t="s">
        <v>106</v>
      </c>
      <c r="C17" t="s">
        <v>107</v>
      </c>
      <c r="D17">
        <f>VLOOKUP(C17,Lookups!$E$2:$F$47,2,FALSE)</f>
        <v>0.92</v>
      </c>
      <c r="E17" s="30">
        <v>5.3715277777777772E-2</v>
      </c>
      <c r="F17" s="29">
        <f t="shared" si="0"/>
        <v>4.9418055555555555E-2</v>
      </c>
      <c r="G17">
        <f>IF(F17="","",_xlfn.RANK.EQ(F17,$F$7:$F$34,1)+COUNTIF($F$7:F17,F17)-1)</f>
        <v>4</v>
      </c>
      <c r="H17" s="19">
        <f t="shared" si="1"/>
        <v>905.12574274530243</v>
      </c>
      <c r="I17" s="18">
        <f t="shared" si="4"/>
        <v>491.08606653363682</v>
      </c>
      <c r="J17" s="17">
        <f t="shared" si="2"/>
        <v>0</v>
      </c>
      <c r="K17" s="16">
        <f t="shared" si="3"/>
        <v>964</v>
      </c>
      <c r="S17">
        <f t="shared" ca="1" si="5"/>
        <v>127</v>
      </c>
    </row>
    <row r="18" spans="1:19" x14ac:dyDescent="0.25">
      <c r="A18">
        <v>12</v>
      </c>
      <c r="B18" t="s">
        <v>32</v>
      </c>
      <c r="C18" t="s">
        <v>27</v>
      </c>
      <c r="D18">
        <f>VLOOKUP(C18,Lookups!$E$2:$F$47,2,FALSE)</f>
        <v>0.86</v>
      </c>
      <c r="E18" s="30"/>
      <c r="F18" s="29" t="str">
        <f t="shared" si="0"/>
        <v/>
      </c>
      <c r="G18" t="str">
        <f>IF(F18="","",_xlfn.RANK.EQ(F18,$F$7:$F$34,1)+COUNTIF($F$7:F18,F18)-1)</f>
        <v/>
      </c>
      <c r="H18" s="19" t="str">
        <f t="shared" si="1"/>
        <v/>
      </c>
      <c r="I18" s="18" t="str">
        <f t="shared" si="4"/>
        <v/>
      </c>
      <c r="J18" s="17" t="str">
        <f t="shared" si="2"/>
        <v/>
      </c>
      <c r="K18" s="16" t="str">
        <f t="shared" si="3"/>
        <v>~</v>
      </c>
    </row>
    <row r="19" spans="1:19" x14ac:dyDescent="0.25">
      <c r="A19">
        <v>13</v>
      </c>
      <c r="B19" t="s">
        <v>33</v>
      </c>
      <c r="C19" t="s">
        <v>34</v>
      </c>
      <c r="D19">
        <f>VLOOKUP(C19,Lookups!$E$2:$F$47,2,FALSE)</f>
        <v>0.8</v>
      </c>
      <c r="E19" s="30"/>
      <c r="F19" s="29" t="str">
        <f t="shared" si="0"/>
        <v/>
      </c>
      <c r="G19" t="str">
        <f>IF(F19="","",_xlfn.RANK.EQ(F19,$F$7:$F$34,1)+COUNTIF($F$7:F19,F19)-1)</f>
        <v/>
      </c>
      <c r="H19" s="19" t="str">
        <f t="shared" si="1"/>
        <v/>
      </c>
      <c r="I19" s="18" t="str">
        <f t="shared" si="4"/>
        <v/>
      </c>
      <c r="J19" s="17" t="str">
        <f t="shared" si="2"/>
        <v/>
      </c>
      <c r="K19" s="16" t="str">
        <f t="shared" si="3"/>
        <v>~</v>
      </c>
    </row>
    <row r="20" spans="1:19" x14ac:dyDescent="0.25">
      <c r="B20" t="s">
        <v>102</v>
      </c>
      <c r="C20" t="s">
        <v>103</v>
      </c>
      <c r="E20" s="30"/>
      <c r="F20" s="29" t="str">
        <f t="shared" ref="F20" si="6">IF(E20="","",E20*D20)</f>
        <v/>
      </c>
      <c r="G20" t="str">
        <f>IF(F20="","",_xlfn.RANK.EQ(F20,$F$7:$F$34,1)+COUNTIF($F$7:F20,F20)-1)</f>
        <v/>
      </c>
      <c r="H20" s="19" t="str">
        <f t="shared" ref="H20" si="7">IFERROR((1000+200*(AVERAGE($F$7:$F$34)-F20)/_xlfn.STDEV.P($F$7:$F$34)),"")</f>
        <v/>
      </c>
      <c r="I20" s="18" t="str">
        <f t="shared" ref="I20" si="8">IFERROR(((1000*SMALL($F$7:$F$34,1)/F20)),"")</f>
        <v/>
      </c>
      <c r="J20" s="17" t="str">
        <f t="shared" ref="J20" si="9">IF(E20="","",IF(F20&gt;=2*SMALL($F$7:$F$34,1),0,1000-((F20-SMALL($F$7:$F$34,1))/SMALL($F$7:$F$34,1)*100)))</f>
        <v/>
      </c>
      <c r="K20" s="16" t="str">
        <f t="shared" ref="K20" si="10">IFERROR((1000-MINUTE(F20-SMALL($F$7:$F$34,1))),"~")</f>
        <v>~</v>
      </c>
    </row>
    <row r="21" spans="1:19" x14ac:dyDescent="0.25">
      <c r="A21">
        <v>14</v>
      </c>
      <c r="B21" t="s">
        <v>35</v>
      </c>
      <c r="C21" t="s">
        <v>59</v>
      </c>
      <c r="D21">
        <f>VLOOKUP(C21,Lookups!$E$2:$F$47,2,FALSE)</f>
        <v>0.77</v>
      </c>
      <c r="E21" s="30"/>
      <c r="F21" s="29" t="str">
        <f t="shared" si="0"/>
        <v/>
      </c>
      <c r="G21" t="str">
        <f>IF(F21="","",_xlfn.RANK.EQ(F21,$F$7:$F$34,1)+COUNTIF($F$7:F21,F21)-1)</f>
        <v/>
      </c>
      <c r="H21" s="19" t="str">
        <f t="shared" si="1"/>
        <v/>
      </c>
      <c r="I21" s="18" t="str">
        <f t="shared" si="4"/>
        <v/>
      </c>
      <c r="J21" s="17" t="str">
        <f t="shared" si="2"/>
        <v/>
      </c>
      <c r="K21" s="16" t="str">
        <f t="shared" si="3"/>
        <v>~</v>
      </c>
    </row>
    <row r="22" spans="1:19" x14ac:dyDescent="0.25">
      <c r="A22">
        <v>15</v>
      </c>
      <c r="B22" t="s">
        <v>37</v>
      </c>
      <c r="C22" t="s">
        <v>27</v>
      </c>
      <c r="D22">
        <f>VLOOKUP(C22,Lookups!$E$2:$F$47,2,FALSE)</f>
        <v>0.86</v>
      </c>
      <c r="E22" s="30">
        <v>7.1875000000000008E-2</v>
      </c>
      <c r="F22" s="29">
        <f t="shared" si="0"/>
        <v>6.1812500000000006E-2</v>
      </c>
      <c r="G22">
        <f>IF(F22="","",_xlfn.RANK.EQ(F22,$F$7:$F$34,1)+COUNTIF($F$7:F22,F22)-1)</f>
        <v>6</v>
      </c>
      <c r="H22" s="19">
        <f t="shared" si="1"/>
        <v>713.23712880444225</v>
      </c>
      <c r="I22" s="18">
        <f t="shared" si="4"/>
        <v>392.61506197805483</v>
      </c>
      <c r="J22" s="17">
        <f t="shared" si="2"/>
        <v>0</v>
      </c>
      <c r="K22" s="16">
        <f t="shared" si="3"/>
        <v>946</v>
      </c>
    </row>
    <row r="23" spans="1:19" x14ac:dyDescent="0.25">
      <c r="A23">
        <v>16</v>
      </c>
      <c r="B23" t="s">
        <v>38</v>
      </c>
      <c r="C23" t="s">
        <v>39</v>
      </c>
      <c r="D23">
        <f>VLOOKUP(C23,Lookups!$E$2:$F$47,2,FALSE)</f>
        <v>0.9</v>
      </c>
      <c r="E23" s="30"/>
      <c r="F23" s="29" t="str">
        <f t="shared" si="0"/>
        <v/>
      </c>
      <c r="G23" t="str">
        <f>IF(F23="","",_xlfn.RANK.EQ(F23,$F$7:$F$34,1)+COUNTIF($F$7:F23,F23)-1)</f>
        <v/>
      </c>
      <c r="H23" s="19" t="str">
        <f t="shared" si="1"/>
        <v/>
      </c>
      <c r="I23" s="18" t="str">
        <f t="shared" si="4"/>
        <v/>
      </c>
      <c r="J23" s="17" t="str">
        <f t="shared" si="2"/>
        <v/>
      </c>
      <c r="K23" s="16" t="str">
        <f t="shared" si="3"/>
        <v>~</v>
      </c>
    </row>
    <row r="24" spans="1:19" x14ac:dyDescent="0.25">
      <c r="A24">
        <v>17</v>
      </c>
      <c r="B24" t="s">
        <v>1</v>
      </c>
      <c r="C24" t="s">
        <v>36</v>
      </c>
      <c r="D24">
        <f>VLOOKUP(C24,Lookups!$E$2:$F$47,2,FALSE)</f>
        <v>0.56999999999999995</v>
      </c>
      <c r="E24" s="30"/>
      <c r="F24" s="29" t="str">
        <f t="shared" si="0"/>
        <v/>
      </c>
      <c r="G24" t="str">
        <f>IF(F24="","",_xlfn.RANK.EQ(F24,$F$7:$F$34,1)+COUNTIF($F$7:F24,F24)-1)</f>
        <v/>
      </c>
      <c r="H24" s="19" t="str">
        <f t="shared" si="1"/>
        <v/>
      </c>
      <c r="I24" s="18" t="str">
        <f t="shared" si="4"/>
        <v/>
      </c>
      <c r="J24" s="17" t="str">
        <f t="shared" si="2"/>
        <v/>
      </c>
      <c r="K24" s="16" t="str">
        <f t="shared" si="3"/>
        <v>~</v>
      </c>
    </row>
    <row r="25" spans="1:19" x14ac:dyDescent="0.25">
      <c r="A25">
        <v>18</v>
      </c>
      <c r="B25" t="s">
        <v>40</v>
      </c>
      <c r="C25" t="s">
        <v>17</v>
      </c>
      <c r="D25">
        <f>VLOOKUP(C25,Lookups!$E$2:$F$47,2,FALSE)</f>
        <v>0.7</v>
      </c>
      <c r="E25" s="30"/>
      <c r="F25" s="29" t="str">
        <f t="shared" si="0"/>
        <v/>
      </c>
      <c r="G25" t="str">
        <f>IF(F25="","",_xlfn.RANK.EQ(F25,$F$7:$F$34,1)+COUNTIF($F$7:F25,F25)-1)</f>
        <v/>
      </c>
      <c r="H25" s="19" t="str">
        <f t="shared" si="1"/>
        <v/>
      </c>
      <c r="I25" s="18" t="str">
        <f t="shared" si="4"/>
        <v/>
      </c>
      <c r="J25" s="17" t="str">
        <f t="shared" si="2"/>
        <v/>
      </c>
      <c r="K25" s="16" t="str">
        <f t="shared" si="3"/>
        <v>~</v>
      </c>
    </row>
    <row r="26" spans="1:19" x14ac:dyDescent="0.25">
      <c r="A26">
        <v>19</v>
      </c>
      <c r="B26" t="s">
        <v>41</v>
      </c>
      <c r="C26" t="s">
        <v>17</v>
      </c>
      <c r="D26">
        <f>VLOOKUP(C26,Lookups!$E$2:$F$47,2,FALSE)</f>
        <v>0.7</v>
      </c>
      <c r="E26" s="30"/>
      <c r="F26" s="29" t="str">
        <f t="shared" si="0"/>
        <v/>
      </c>
      <c r="G26" t="str">
        <f>IF(F26="","",_xlfn.RANK.EQ(F26,$F$7:$F$34,1)+COUNTIF($F$7:F26,F26)-1)</f>
        <v/>
      </c>
      <c r="H26" s="19" t="str">
        <f t="shared" si="1"/>
        <v/>
      </c>
      <c r="I26" s="18" t="str">
        <f t="shared" si="4"/>
        <v/>
      </c>
      <c r="J26" s="17" t="str">
        <f t="shared" si="2"/>
        <v/>
      </c>
      <c r="K26" s="16" t="str">
        <f t="shared" si="3"/>
        <v>~</v>
      </c>
    </row>
    <row r="27" spans="1:19" x14ac:dyDescent="0.25">
      <c r="A27">
        <v>20</v>
      </c>
      <c r="B27" t="s">
        <v>44</v>
      </c>
      <c r="C27" t="s">
        <v>45</v>
      </c>
      <c r="D27">
        <f>VLOOKUP(C27,Lookups!$E$2:$F$47,2,FALSE)</f>
        <v>0.67</v>
      </c>
      <c r="E27" s="30"/>
      <c r="F27" s="29" t="str">
        <f t="shared" si="0"/>
        <v/>
      </c>
      <c r="G27" t="str">
        <f>IF(F27="","",_xlfn.RANK.EQ(F27,$F$7:$F$34,1)+COUNTIF($F$7:F27,F27)-1)</f>
        <v/>
      </c>
      <c r="H27" s="19" t="str">
        <f t="shared" si="1"/>
        <v/>
      </c>
      <c r="I27" s="18" t="str">
        <f t="shared" si="4"/>
        <v/>
      </c>
      <c r="J27" s="17" t="str">
        <f t="shared" si="2"/>
        <v/>
      </c>
      <c r="K27" s="16" t="str">
        <f t="shared" si="3"/>
        <v>~</v>
      </c>
    </row>
    <row r="28" spans="1:19"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4"/>
        <v/>
      </c>
      <c r="J28" s="17" t="str">
        <f t="shared" si="2"/>
        <v/>
      </c>
      <c r="K28" s="16" t="str">
        <f t="shared" si="3"/>
        <v>~</v>
      </c>
    </row>
    <row r="29" spans="1:19" x14ac:dyDescent="0.25">
      <c r="A29">
        <v>22</v>
      </c>
      <c r="B29" t="s">
        <v>106</v>
      </c>
      <c r="C29" t="s">
        <v>45</v>
      </c>
      <c r="D29">
        <f>VLOOKUP(C29,Lookups!$E$2:$F$47,2,FALSE)</f>
        <v>0.67</v>
      </c>
      <c r="E29" s="30"/>
      <c r="F29" s="29" t="str">
        <f t="shared" si="0"/>
        <v/>
      </c>
      <c r="G29" t="str">
        <f>IF(F29="","",_xlfn.RANK.EQ(F29,$F$7:$F$34,1)+COUNTIF($F$7:F29,F29)-1)</f>
        <v/>
      </c>
      <c r="H29" s="19" t="str">
        <f t="shared" si="1"/>
        <v/>
      </c>
      <c r="I29" s="18" t="str">
        <f t="shared" si="4"/>
        <v/>
      </c>
      <c r="J29" s="17" t="str">
        <f t="shared" si="2"/>
        <v/>
      </c>
      <c r="K29" s="16" t="str">
        <f t="shared" si="3"/>
        <v>~</v>
      </c>
    </row>
    <row r="30" spans="1:19" x14ac:dyDescent="0.25">
      <c r="A30">
        <v>23</v>
      </c>
      <c r="B30" t="s">
        <v>46</v>
      </c>
      <c r="C30" t="s">
        <v>47</v>
      </c>
      <c r="D30">
        <f>VLOOKUP(C30,Lookups!$E$2:$F$47,2,FALSE)</f>
        <v>0.8</v>
      </c>
      <c r="E30" s="30"/>
      <c r="F30" s="29" t="str">
        <f t="shared" si="0"/>
        <v/>
      </c>
      <c r="G30" t="str">
        <f>IF(F30="","",_xlfn.RANK.EQ(F30,$F$7:$F$34,1)+COUNTIF($F$7:F30,F30)-1)</f>
        <v/>
      </c>
      <c r="H30" s="19" t="str">
        <f t="shared" si="1"/>
        <v/>
      </c>
      <c r="I30" s="18" t="str">
        <f t="shared" si="4"/>
        <v/>
      </c>
      <c r="J30" s="17" t="str">
        <f t="shared" si="2"/>
        <v/>
      </c>
      <c r="K30" s="16" t="str">
        <f t="shared" si="3"/>
        <v>~</v>
      </c>
    </row>
    <row r="31" spans="1:19" x14ac:dyDescent="0.25">
      <c r="A31">
        <v>24</v>
      </c>
      <c r="B31" t="s">
        <v>48</v>
      </c>
      <c r="C31" t="s">
        <v>49</v>
      </c>
      <c r="D31">
        <f>VLOOKUP(C31,Lookups!$E$2:$F$47,2,FALSE)</f>
        <v>0.7</v>
      </c>
      <c r="E31" s="30"/>
      <c r="F31" s="29" t="str">
        <f t="shared" si="0"/>
        <v/>
      </c>
      <c r="G31" t="str">
        <f>IF(F31="","",_xlfn.RANK.EQ(F31,$F$7:$F$34,1)+COUNTIF($F$7:F31,F31)-1)</f>
        <v/>
      </c>
      <c r="H31" s="19" t="str">
        <f t="shared" si="1"/>
        <v/>
      </c>
      <c r="I31" s="18" t="str">
        <f t="shared" si="4"/>
        <v/>
      </c>
      <c r="J31" s="17" t="str">
        <f t="shared" si="2"/>
        <v/>
      </c>
      <c r="K31" s="16" t="str">
        <f t="shared" si="3"/>
        <v>~</v>
      </c>
    </row>
    <row r="32" spans="1:19"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4"/>
        <v/>
      </c>
      <c r="J32" s="17" t="str">
        <f t="shared" si="2"/>
        <v/>
      </c>
      <c r="K32" s="16" t="str">
        <f t="shared" si="3"/>
        <v>~</v>
      </c>
    </row>
    <row r="33" spans="1:11" x14ac:dyDescent="0.25">
      <c r="A33">
        <v>26</v>
      </c>
      <c r="B33" t="s">
        <v>57</v>
      </c>
      <c r="C33" t="s">
        <v>49</v>
      </c>
      <c r="D33">
        <f>VLOOKUP(C33,Lookups!$E$2:$F$47,2,FALSE)</f>
        <v>0.7</v>
      </c>
      <c r="E33" s="30"/>
      <c r="F33" s="29" t="str">
        <f t="shared" si="0"/>
        <v/>
      </c>
      <c r="G33" t="str">
        <f>IF(F33="","",_xlfn.RANK.EQ(F33,$F$7:$F$34,1)+COUNTIF($F$7:F33,F33)-1)</f>
        <v/>
      </c>
      <c r="H33" s="19" t="str">
        <f t="shared" si="1"/>
        <v/>
      </c>
      <c r="I33" s="18" t="str">
        <f t="shared" si="4"/>
        <v/>
      </c>
      <c r="J33" s="17" t="str">
        <f t="shared" si="2"/>
        <v/>
      </c>
      <c r="K33" s="16" t="str">
        <f t="shared" si="3"/>
        <v>~</v>
      </c>
    </row>
    <row r="34" spans="1:11" x14ac:dyDescent="0.25">
      <c r="A34">
        <v>27</v>
      </c>
      <c r="B34" t="s">
        <v>55</v>
      </c>
      <c r="C34" t="s">
        <v>45</v>
      </c>
      <c r="D34">
        <f>VLOOKUP(C34,Lookups!$E$2:$F$47,2,FALSE)</f>
        <v>0.67</v>
      </c>
      <c r="E34" s="30"/>
      <c r="F34" s="29" t="str">
        <f t="shared" si="0"/>
        <v/>
      </c>
      <c r="G34" t="str">
        <f>IF(F34="","",_xlfn.RANK.EQ(F34,$F$7:$F$34,1)+COUNTIF($F$7:F34,F34)-1)</f>
        <v/>
      </c>
      <c r="H34" s="19" t="str">
        <f t="shared" si="1"/>
        <v/>
      </c>
      <c r="I34" s="18" t="str">
        <f t="shared" si="4"/>
        <v/>
      </c>
      <c r="J34" s="17" t="str">
        <f t="shared" si="2"/>
        <v/>
      </c>
      <c r="K34" s="16" t="str">
        <f t="shared" si="3"/>
        <v>~</v>
      </c>
    </row>
    <row r="35" spans="1:11" x14ac:dyDescent="0.25">
      <c r="E35" s="26"/>
    </row>
    <row r="36" spans="1:11" x14ac:dyDescent="0.25">
      <c r="A36" t="s">
        <v>53</v>
      </c>
      <c r="E36" s="26"/>
    </row>
    <row r="37" spans="1:11" ht="30" x14ac:dyDescent="0.25">
      <c r="A37" t="s">
        <v>8</v>
      </c>
      <c r="B37" t="s">
        <v>9</v>
      </c>
      <c r="C37" t="s">
        <v>10</v>
      </c>
      <c r="D37" t="s">
        <v>54</v>
      </c>
      <c r="E37" s="27" t="s">
        <v>95</v>
      </c>
      <c r="F37" s="24" t="s">
        <v>94</v>
      </c>
      <c r="G37" s="24" t="s">
        <v>8</v>
      </c>
      <c r="H37" s="23" t="s">
        <v>93</v>
      </c>
      <c r="I37" s="22" t="s">
        <v>92</v>
      </c>
      <c r="J37" s="21" t="s">
        <v>91</v>
      </c>
      <c r="K37" s="20" t="s">
        <v>90</v>
      </c>
    </row>
    <row r="38" spans="1:11" x14ac:dyDescent="0.25">
      <c r="A38">
        <v>1</v>
      </c>
      <c r="B38" t="s">
        <v>55</v>
      </c>
      <c r="C38" t="s">
        <v>109</v>
      </c>
      <c r="D38">
        <f>VLOOKUP(C38,Lookups!$E$2:$F$47,2,FALSE)</f>
        <v>0.7</v>
      </c>
      <c r="E38" s="30">
        <v>3.0995370370370371E-2</v>
      </c>
      <c r="F38" s="29">
        <f>IF(E38="","",E38*D38)</f>
        <v>2.1696759259259259E-2</v>
      </c>
      <c r="G38">
        <f>IF(F38="","",_xlfn.RANK.EQ(F38,$F$38:$F$60,1)+COUNTIF($F$38:F60,F38)-1)</f>
        <v>1</v>
      </c>
      <c r="H38" s="19">
        <f t="shared" ref="H38:H46" si="11">IFERROR((1000+200*(AVERAGE($F$38:$F$60)-F38)/_xlfn.STDEV.P($F$38:$F$60)),"")</f>
        <v>1243.339644333362</v>
      </c>
      <c r="I38" s="18">
        <f t="shared" ref="I38:I46" si="12">IFERROR(((1000*SMALL($F$38:$F$60,1)/F38)),"")</f>
        <v>1000</v>
      </c>
      <c r="J38" s="17">
        <f t="shared" ref="J38:J46" si="13">IF(E38="","",IF(F38&gt;=2*SMALL($F$38:$F$60,1),0,1000-((F38-SMALL($F$7:$F$60,1))/SMALL($F$38:$F$60,1)*100)))</f>
        <v>1000</v>
      </c>
      <c r="K38" s="16">
        <f t="shared" ref="K38:K46" si="14">IFERROR((1000-MINUTE(F38-SMALL($F$38:$F$60,1))),"~")</f>
        <v>1000</v>
      </c>
    </row>
    <row r="39" spans="1:11" x14ac:dyDescent="0.25">
      <c r="A39">
        <v>2</v>
      </c>
      <c r="B39" t="s">
        <v>57</v>
      </c>
      <c r="C39" t="s">
        <v>49</v>
      </c>
      <c r="D39">
        <f>VLOOKUP(C39,Lookups!$E$2:$F$47,2,FALSE)</f>
        <v>0.7</v>
      </c>
      <c r="E39" s="30"/>
      <c r="F39" s="29" t="str">
        <f>IF(E39="","",E39*D39)</f>
        <v/>
      </c>
      <c r="G39" t="str">
        <f>IF(F39="","",_xlfn.RANK.EQ(F39,$F$38:$F$60,1)+COUNTIF($F$38:F61,F39)-1)</f>
        <v/>
      </c>
      <c r="H39" s="19" t="str">
        <f t="shared" si="11"/>
        <v/>
      </c>
      <c r="I39" s="18" t="str">
        <f t="shared" si="12"/>
        <v/>
      </c>
      <c r="J39" s="17" t="str">
        <f t="shared" si="13"/>
        <v/>
      </c>
      <c r="K39" s="16" t="str">
        <f t="shared" si="14"/>
        <v>~</v>
      </c>
    </row>
    <row r="40" spans="1:11" x14ac:dyDescent="0.25">
      <c r="A40">
        <v>3</v>
      </c>
      <c r="B40" t="s">
        <v>111</v>
      </c>
      <c r="C40" t="s">
        <v>39</v>
      </c>
      <c r="D40">
        <f>VLOOKUP(C40,Lookups!$E$2:$F$47,2,FALSE)</f>
        <v>0.9</v>
      </c>
      <c r="E40" s="30"/>
      <c r="F40" s="29" t="str">
        <f t="shared" ref="F40:F60" si="15">IF(E40="","",E40*D40)</f>
        <v/>
      </c>
      <c r="G40" t="str">
        <f>IF(F40="","",_xlfn.RANK.EQ(F40,$F$38:$F$60,1)+COUNTIF($F$38:F62,F40)-1)</f>
        <v/>
      </c>
      <c r="H40" s="19" t="str">
        <f t="shared" si="11"/>
        <v/>
      </c>
      <c r="I40" s="18" t="str">
        <f t="shared" si="12"/>
        <v/>
      </c>
      <c r="J40" s="17" t="str">
        <f t="shared" si="13"/>
        <v/>
      </c>
      <c r="K40" s="16" t="str">
        <f t="shared" si="14"/>
        <v>~</v>
      </c>
    </row>
    <row r="41" spans="1:11" x14ac:dyDescent="0.25">
      <c r="A41">
        <v>4</v>
      </c>
      <c r="B41" t="s">
        <v>65</v>
      </c>
      <c r="C41" t="s">
        <v>63</v>
      </c>
      <c r="D41">
        <f>VLOOKUP(C41,Lookups!$E$2:$F$47,2,FALSE)</f>
        <v>0.62</v>
      </c>
      <c r="E41" s="30"/>
      <c r="F41" s="29" t="str">
        <f t="shared" si="15"/>
        <v/>
      </c>
      <c r="G41" t="str">
        <f>IF(F41="","",_xlfn.RANK.EQ(F41,$F$38:$F$60,1)+COUNTIF($F$38:F63,F41)-1)</f>
        <v/>
      </c>
      <c r="H41" s="19" t="str">
        <f t="shared" si="11"/>
        <v/>
      </c>
      <c r="I41" s="18" t="str">
        <f t="shared" si="12"/>
        <v/>
      </c>
      <c r="J41" s="17" t="str">
        <f t="shared" si="13"/>
        <v/>
      </c>
      <c r="K41" s="16" t="str">
        <f t="shared" si="14"/>
        <v>~</v>
      </c>
    </row>
    <row r="42" spans="1:11" x14ac:dyDescent="0.25">
      <c r="A42">
        <v>5</v>
      </c>
      <c r="B42" t="s">
        <v>116</v>
      </c>
      <c r="C42" t="s">
        <v>117</v>
      </c>
      <c r="D42">
        <f>VLOOKUP(C42,Lookups!$E$2:$F$47,2,FALSE)</f>
        <v>0.89</v>
      </c>
      <c r="E42" s="30"/>
      <c r="F42" s="29" t="str">
        <f t="shared" si="15"/>
        <v/>
      </c>
      <c r="G42" t="str">
        <f>IF(F42="","",_xlfn.RANK.EQ(F42,$F$38:$F$60,1)+COUNTIF($F$38:F64,F42)-1)</f>
        <v/>
      </c>
      <c r="H42" s="19" t="str">
        <f t="shared" si="11"/>
        <v/>
      </c>
      <c r="I42" s="18" t="str">
        <f t="shared" si="12"/>
        <v/>
      </c>
      <c r="J42" s="17" t="str">
        <f t="shared" si="13"/>
        <v/>
      </c>
      <c r="K42" s="16" t="str">
        <f t="shared" si="14"/>
        <v>~</v>
      </c>
    </row>
    <row r="43" spans="1:11" x14ac:dyDescent="0.25">
      <c r="A43">
        <v>6</v>
      </c>
      <c r="B43" t="s">
        <v>112</v>
      </c>
      <c r="C43" t="s">
        <v>17</v>
      </c>
      <c r="D43">
        <f>VLOOKUP(C43,Lookups!$E$2:$F$47,2,FALSE)</f>
        <v>0.7</v>
      </c>
      <c r="E43" s="30">
        <v>5.4502314814814816E-2</v>
      </c>
      <c r="F43" s="29">
        <f t="shared" si="15"/>
        <v>3.815162037037037E-2</v>
      </c>
      <c r="G43">
        <f>IF(F43="","",_xlfn.RANK.EQ(F43,$F$38:$F$60,1)+COUNTIF($F$38:F65,F43)-1)</f>
        <v>4</v>
      </c>
      <c r="H43" s="19">
        <f t="shared" si="11"/>
        <v>965.56312500626018</v>
      </c>
      <c r="I43" s="18">
        <f t="shared" si="12"/>
        <v>568.69823741771074</v>
      </c>
      <c r="J43" s="17">
        <f t="shared" si="13"/>
        <v>924.15982076176249</v>
      </c>
      <c r="K43" s="16">
        <f t="shared" si="14"/>
        <v>977</v>
      </c>
    </row>
    <row r="44" spans="1:11" x14ac:dyDescent="0.25">
      <c r="A44">
        <v>7</v>
      </c>
      <c r="B44" t="s">
        <v>115</v>
      </c>
      <c r="C44" t="s">
        <v>47</v>
      </c>
      <c r="D44">
        <f>VLOOKUP(C44,Lookups!$E$2:$F$47,2,FALSE)</f>
        <v>0.8</v>
      </c>
      <c r="E44" s="30"/>
      <c r="F44" s="29" t="str">
        <f t="shared" si="15"/>
        <v/>
      </c>
      <c r="G44" t="str">
        <f>IF(F44="","",_xlfn.RANK.EQ(F44,$F$38:$F$60,1)+COUNTIF($F$38:F66,F44)-1)</f>
        <v/>
      </c>
      <c r="H44" s="19" t="str">
        <f t="shared" si="11"/>
        <v/>
      </c>
      <c r="I44" s="18" t="str">
        <f t="shared" si="12"/>
        <v/>
      </c>
      <c r="J44" s="17" t="str">
        <f t="shared" si="13"/>
        <v/>
      </c>
      <c r="K44" s="16" t="str">
        <f t="shared" si="14"/>
        <v>~</v>
      </c>
    </row>
    <row r="45" spans="1:11" x14ac:dyDescent="0.25">
      <c r="A45">
        <v>8</v>
      </c>
      <c r="B45" t="s">
        <v>58</v>
      </c>
      <c r="C45" t="s">
        <v>59</v>
      </c>
      <c r="D45">
        <f>VLOOKUP(C45,Lookups!$E$2:$F$47,2,FALSE)</f>
        <v>0.77</v>
      </c>
      <c r="E45" s="30">
        <v>5.5509259259259258E-2</v>
      </c>
      <c r="F45" s="29">
        <f t="shared" si="15"/>
        <v>4.274212962962963E-2</v>
      </c>
      <c r="G45">
        <f>IF(F45="","",_xlfn.RANK.EQ(F45,$F$38:$F$60,1)+COUNTIF($F$38:F72,F45)-1)</f>
        <v>5</v>
      </c>
      <c r="H45" s="19">
        <f t="shared" si="11"/>
        <v>888.07017776316036</v>
      </c>
      <c r="I45" s="18">
        <f t="shared" si="12"/>
        <v>507.61998635226325</v>
      </c>
      <c r="J45" s="17">
        <f t="shared" si="13"/>
        <v>903.0022404779686</v>
      </c>
      <c r="K45" s="16">
        <f t="shared" si="14"/>
        <v>970</v>
      </c>
    </row>
    <row r="46" spans="1:11" x14ac:dyDescent="0.25">
      <c r="A46">
        <v>9</v>
      </c>
      <c r="B46" t="s">
        <v>67</v>
      </c>
      <c r="C46" t="s">
        <v>34</v>
      </c>
      <c r="D46">
        <f>VLOOKUP(C46,Lookups!$E$2:$F$47,2,FALSE)</f>
        <v>0.8</v>
      </c>
      <c r="E46" s="30">
        <v>3.2233796296296295E-2</v>
      </c>
      <c r="F46" s="29">
        <f t="shared" si="15"/>
        <v>2.5787037037037039E-2</v>
      </c>
      <c r="G46">
        <f>IF(F46="","",_xlfn.RANK.EQ(F46,$F$38:$F$60,1)+COUNTIF($F$38:F73,F46)-1)</f>
        <v>3</v>
      </c>
      <c r="H46" s="19">
        <f t="shared" si="11"/>
        <v>1174.2911658004803</v>
      </c>
      <c r="I46" s="18">
        <f t="shared" si="12"/>
        <v>841.38240574506278</v>
      </c>
      <c r="J46" s="17">
        <f t="shared" si="13"/>
        <v>981.14797823535685</v>
      </c>
      <c r="K46" s="16">
        <f t="shared" si="14"/>
        <v>995</v>
      </c>
    </row>
    <row r="47" spans="1:11" x14ac:dyDescent="0.25">
      <c r="A47">
        <v>10</v>
      </c>
      <c r="B47" t="s">
        <v>102</v>
      </c>
      <c r="C47" t="s">
        <v>103</v>
      </c>
      <c r="D47">
        <f>VLOOKUP(C47,Lookups!$E$2:$F$47,2,FALSE)</f>
        <v>0.92</v>
      </c>
      <c r="E47" s="30"/>
      <c r="F47" s="29" t="str">
        <f t="shared" ref="F47:F51" si="16">IF(E47="","",E47*D47)</f>
        <v/>
      </c>
      <c r="G47" t="str">
        <f>IF(F47="","",_xlfn.RANK.EQ(F47,$F$38:$F$60,1)+COUNTIF($F$38:F74,F47)-1)</f>
        <v/>
      </c>
      <c r="H47" s="19" t="str">
        <f t="shared" ref="H47:H51" si="17">IFERROR((1000+200*(AVERAGE($F$38:$F$60)-F47)/_xlfn.STDEV.P($F$38:$F$60)),"")</f>
        <v/>
      </c>
      <c r="I47" s="18" t="str">
        <f t="shared" ref="I47:I51" si="18">IFERROR(((1000*SMALL($F$38:$F$60,1)/F47)),"")</f>
        <v/>
      </c>
      <c r="J47" s="17" t="str">
        <f t="shared" ref="J47:J51" si="19">IF(E47="","",IF(F47&gt;=2*SMALL($F$38:$F$60,1),0,1000-((F47-SMALL($F$7:$F$60,1))/SMALL($F$38:$F$60,1)*100)))</f>
        <v/>
      </c>
      <c r="K47" s="16" t="str">
        <f t="shared" ref="K47:K51" si="20">IFERROR((1000-MINUTE(F47-SMALL($F$38:$F$60,1))),"~")</f>
        <v>~</v>
      </c>
    </row>
    <row r="48" spans="1:11" x14ac:dyDescent="0.25">
      <c r="B48" t="s">
        <v>104</v>
      </c>
      <c r="C48" t="s">
        <v>47</v>
      </c>
      <c r="E48" s="30"/>
      <c r="F48" s="29" t="str">
        <f t="shared" si="16"/>
        <v/>
      </c>
      <c r="G48" t="str">
        <f>IF(F48="","",_xlfn.RANK.EQ(F48,$F$38:$F$60,1)+COUNTIF($F$38:F75,F48)-1)</f>
        <v/>
      </c>
      <c r="H48" s="19" t="str">
        <f t="shared" si="17"/>
        <v/>
      </c>
      <c r="I48" s="18" t="str">
        <f t="shared" si="18"/>
        <v/>
      </c>
      <c r="J48" s="17" t="str">
        <f t="shared" si="19"/>
        <v/>
      </c>
      <c r="K48" s="16" t="str">
        <f t="shared" si="20"/>
        <v>~</v>
      </c>
    </row>
    <row r="49" spans="1:11" x14ac:dyDescent="0.25">
      <c r="B49" t="s">
        <v>25</v>
      </c>
      <c r="C49" t="s">
        <v>26</v>
      </c>
      <c r="D49">
        <f>VLOOKUP(C49,Lookups!$E$2:$F$47,2,FALSE)</f>
        <v>0.67</v>
      </c>
      <c r="E49" s="30"/>
      <c r="F49" s="29" t="str">
        <f t="shared" si="16"/>
        <v/>
      </c>
      <c r="G49" t="str">
        <f>IF(F49="","",_xlfn.RANK.EQ(F49,$F$38:$F$60,1)+COUNTIF($F$38:F76,F49)-1)</f>
        <v/>
      </c>
      <c r="H49" s="19" t="str">
        <f t="shared" si="17"/>
        <v/>
      </c>
      <c r="I49" s="18" t="str">
        <f t="shared" si="18"/>
        <v/>
      </c>
      <c r="J49" s="17" t="str">
        <f t="shared" si="19"/>
        <v/>
      </c>
      <c r="K49" s="16" t="str">
        <f t="shared" si="20"/>
        <v>~</v>
      </c>
    </row>
    <row r="50" spans="1:11" x14ac:dyDescent="0.25">
      <c r="A50">
        <v>11</v>
      </c>
      <c r="B50" t="s">
        <v>106</v>
      </c>
      <c r="C50" t="s">
        <v>107</v>
      </c>
      <c r="D50">
        <f>VLOOKUP(C50,Lookups!$E$2:$F$47,2,FALSE)</f>
        <v>0.92</v>
      </c>
      <c r="E50" s="30"/>
      <c r="F50" s="29" t="str">
        <f t="shared" si="16"/>
        <v/>
      </c>
      <c r="G50" t="str">
        <f>IF(F50="","",_xlfn.RANK.EQ(F50,$F$38:$F$60,1)+COUNTIF($F$38:F77,F50)-1)</f>
        <v/>
      </c>
      <c r="H50" s="19" t="str">
        <f t="shared" si="17"/>
        <v/>
      </c>
      <c r="I50" s="18" t="str">
        <f t="shared" si="18"/>
        <v/>
      </c>
      <c r="J50" s="17" t="str">
        <f t="shared" si="19"/>
        <v/>
      </c>
      <c r="K50" s="16" t="str">
        <f t="shared" si="20"/>
        <v>~</v>
      </c>
    </row>
    <row r="51" spans="1:11" x14ac:dyDescent="0.25">
      <c r="A51">
        <v>12</v>
      </c>
      <c r="B51" t="s">
        <v>42</v>
      </c>
      <c r="C51" t="s">
        <v>43</v>
      </c>
      <c r="D51">
        <f>VLOOKUP(C51,Lookups!$E$2:$F$47,2,FALSE)</f>
        <v>0.64</v>
      </c>
      <c r="E51" s="30">
        <v>3.6770833333333336E-2</v>
      </c>
      <c r="F51" s="29">
        <f t="shared" si="16"/>
        <v>2.3533333333333337E-2</v>
      </c>
      <c r="G51">
        <f>IF(F51="","",_xlfn.RANK.EQ(F51,$F$38:$F$60,1)+COUNTIF($F$38:F78,F51)-1)</f>
        <v>2</v>
      </c>
      <c r="H51" s="19">
        <f t="shared" si="17"/>
        <v>1212.3362131686827</v>
      </c>
      <c r="I51" s="18">
        <f t="shared" si="18"/>
        <v>921.9586087503933</v>
      </c>
      <c r="J51" s="17">
        <f t="shared" si="19"/>
        <v>991.5352608556492</v>
      </c>
      <c r="K51" s="16">
        <f t="shared" si="20"/>
        <v>998</v>
      </c>
    </row>
    <row r="52" spans="1:11" x14ac:dyDescent="0.25">
      <c r="A52">
        <v>13</v>
      </c>
      <c r="B52" t="s">
        <v>60</v>
      </c>
      <c r="C52" t="s">
        <v>34</v>
      </c>
      <c r="D52">
        <f>VLOOKUP(C52,Lookups!$E$2:$F$47,2,FALSE)</f>
        <v>0.8</v>
      </c>
      <c r="E52" s="30"/>
      <c r="F52" s="29" t="str">
        <f t="shared" si="15"/>
        <v/>
      </c>
      <c r="G52" t="str">
        <f>IF(F52="","",_xlfn.RANK.EQ(F52,$F$38:$F$60,1)+COUNTIF($F$38:F77,F52)-1)</f>
        <v/>
      </c>
      <c r="H52" s="19" t="str">
        <f>IFERROR((1000+200*(AVERAGE($F$38:$F$60)-F52)/_xlfn.STDEV.P($F$38:$F$60)),"")</f>
        <v/>
      </c>
      <c r="I52" s="18" t="str">
        <f>IFERROR(((1000*SMALL($F$38:$F$60,1)/F52)),"")</f>
        <v/>
      </c>
      <c r="J52" s="17" t="str">
        <f>IF(E52="","",IF(F52&gt;=2*SMALL($F$38:$F$60,1),0,1000-((F52-SMALL($F$7:$F$60,1))/SMALL($F$38:$F$60,1)*100)))</f>
        <v/>
      </c>
      <c r="K52" s="16" t="str">
        <f>IFERROR((1000-MINUTE(F52-SMALL($F$38:$F$60,1))),"~")</f>
        <v>~</v>
      </c>
    </row>
    <row r="53" spans="1:11" x14ac:dyDescent="0.25">
      <c r="A53">
        <v>14</v>
      </c>
      <c r="B53" t="s">
        <v>76</v>
      </c>
      <c r="C53" t="s">
        <v>19</v>
      </c>
      <c r="D53">
        <f>VLOOKUP(C53,Lookups!$E$2:$F$47,2,FALSE)</f>
        <v>0.63</v>
      </c>
      <c r="E53" s="30">
        <v>7.2002314814814811E-2</v>
      </c>
      <c r="F53" s="29">
        <f t="shared" si="15"/>
        <v>4.5361458333333333E-2</v>
      </c>
      <c r="G53">
        <f>IF(F53="","",_xlfn.RANK.EQ(F53,$F$38:$F$60,1)+COUNTIF($F$38:F78,F53)-1)</f>
        <v>6</v>
      </c>
      <c r="H53" s="19">
        <f>IFERROR((1000+200*(AVERAGE($F$38:$F$60)-F53)/_xlfn.STDEV.P($F$38:$F$60)),"")</f>
        <v>843.85297013221407</v>
      </c>
      <c r="I53" s="18">
        <f>IFERROR(((1000*SMALL($F$38:$F$60,1)/F53)),"")</f>
        <v>478.30823911839826</v>
      </c>
      <c r="J53" s="17">
        <f>IF(E53="","",IF(F53&gt;=2*SMALL($F$38:$F$60,1),0,1000-((F53-SMALL($F$7:$F$60,1))/SMALL($F$38:$F$60,1)*100)))</f>
        <v>0</v>
      </c>
      <c r="K53" s="16">
        <f>IFERROR((1000-MINUTE(F53-SMALL($F$38:$F$60,1))),"~")</f>
        <v>966</v>
      </c>
    </row>
    <row r="54" spans="1:11" x14ac:dyDescent="0.25">
      <c r="A54">
        <v>15</v>
      </c>
      <c r="B54" t="s">
        <v>61</v>
      </c>
      <c r="C54" t="s">
        <v>39</v>
      </c>
      <c r="D54">
        <f>VLOOKUP(C54,Lookups!$E$2:$F$47,2,FALSE)</f>
        <v>0.9</v>
      </c>
      <c r="E54" s="30"/>
      <c r="F54" s="29" t="str">
        <f t="shared" si="15"/>
        <v/>
      </c>
      <c r="G54" t="str">
        <f>IF(F54="","",_xlfn.RANK.EQ(F54,$F$38:$F$60,1)+COUNTIF($F$38:F79,F54)-1)</f>
        <v/>
      </c>
      <c r="H54" s="19" t="str">
        <f t="shared" ref="H54:H55" si="21">IFERROR((1000+200*(AVERAGE($F$38:$F$60)-F54)/_xlfn.STDEV.P($F$38:$F$60)),"")</f>
        <v/>
      </c>
      <c r="I54" s="18" t="str">
        <f t="shared" ref="I54:I55" si="22">IFERROR(((1000*SMALL($F$38:$F$60,1)/F54)),"")</f>
        <v/>
      </c>
      <c r="J54" s="17" t="str">
        <f t="shared" ref="J54:J55" si="23">IF(E54="","",IF(F54&gt;=2*SMALL($F$38:$F$60,1),0,1000-((F54-SMALL($F$7:$F$60,1))/SMALL($F$38:$F$60,1)*100)))</f>
        <v/>
      </c>
      <c r="K54" s="16" t="str">
        <f t="shared" ref="K54:K55" si="24">IFERROR((1000-MINUTE(F54-SMALL($F$38:$F$60,1))),"~")</f>
        <v>~</v>
      </c>
    </row>
    <row r="55" spans="1:11" x14ac:dyDescent="0.25">
      <c r="B55" t="s">
        <v>157</v>
      </c>
      <c r="C55" t="s">
        <v>156</v>
      </c>
      <c r="D55">
        <f>VLOOKUP(C55,Lookups!$E$2:$F$47,2,FALSE)</f>
        <v>1</v>
      </c>
      <c r="E55" s="30">
        <v>5.5509259259259258E-2</v>
      </c>
      <c r="F55" s="29">
        <f t="shared" si="15"/>
        <v>5.5509259259259258E-2</v>
      </c>
      <c r="G55">
        <f>IF(F55="","",_xlfn.RANK.EQ(F55,$F$38:$F$60,1)+COUNTIF($F$38:F80,F55)-1)</f>
        <v>7</v>
      </c>
      <c r="H55" s="19">
        <f t="shared" si="21"/>
        <v>672.5467037958399</v>
      </c>
      <c r="I55" s="18">
        <f t="shared" si="22"/>
        <v>390.8673894912427</v>
      </c>
      <c r="J55" s="17">
        <f t="shared" si="23"/>
        <v>0</v>
      </c>
      <c r="K55" s="16">
        <f t="shared" si="24"/>
        <v>952</v>
      </c>
    </row>
    <row r="56" spans="1:11" x14ac:dyDescent="0.25">
      <c r="A56">
        <v>16</v>
      </c>
      <c r="B56" t="s">
        <v>6</v>
      </c>
      <c r="C56" t="s">
        <v>19</v>
      </c>
      <c r="D56">
        <f>VLOOKUP(C56,Lookups!$E$2:$F$47,2,FALSE)</f>
        <v>0.63</v>
      </c>
      <c r="E56" s="30"/>
      <c r="F56" s="29" t="str">
        <f t="shared" si="15"/>
        <v/>
      </c>
      <c r="G56" t="str">
        <f>IF(F56="","",_xlfn.RANK.EQ(F56,$F$38:$F$60,1)+COUNTIF($F$38:F80,F56)-1)</f>
        <v/>
      </c>
      <c r="H56" s="19" t="str">
        <f>IFERROR((1000+200*(AVERAGE($F$38:$F$60)-F56)/_xlfn.STDEV.P($F$38:$F$60)),"")</f>
        <v/>
      </c>
      <c r="I56" s="18" t="str">
        <f>IFERROR(((1000*SMALL($F$38:$F$60,1)/F56)),"")</f>
        <v/>
      </c>
      <c r="J56" s="17" t="str">
        <f>IF(E56="","",IF(F56&gt;=2*SMALL($F$38:$F$60,1),0,1000-((F56-SMALL($F$7:$F$60,1))/SMALL($F$38:$F$60,1)*100)))</f>
        <v/>
      </c>
      <c r="K56" s="16" t="str">
        <f>IFERROR((1000-MINUTE(F56-SMALL($F$38:$F$60,1))),"~")</f>
        <v>~</v>
      </c>
    </row>
    <row r="57" spans="1:11" x14ac:dyDescent="0.25">
      <c r="A57">
        <v>17</v>
      </c>
      <c r="B57" t="s">
        <v>118</v>
      </c>
      <c r="C57" t="s">
        <v>47</v>
      </c>
      <c r="D57">
        <f>VLOOKUP(C57,Lookups!$E$2:$F$47,2,FALSE)</f>
        <v>0.8</v>
      </c>
      <c r="E57" s="30"/>
      <c r="F57" s="29" t="str">
        <f t="shared" si="15"/>
        <v/>
      </c>
      <c r="G57" t="str">
        <f>IF(F57="","",_xlfn.RANK.EQ(F57,$F$38:$F$60,1)+COUNTIF($F$38:F81,F57)-1)</f>
        <v/>
      </c>
      <c r="H57" s="19" t="str">
        <f>IFERROR((1000+200*(AVERAGE($F$38:$F$60)-F57)/_xlfn.STDEV.P($F$38:$F$60)),"")</f>
        <v/>
      </c>
      <c r="I57" s="18" t="str">
        <f>IFERROR(((1000*SMALL($F$38:$F$60,1)/F57)),"")</f>
        <v/>
      </c>
      <c r="J57" s="17" t="str">
        <f>IF(E57="","",IF(F57&gt;=2*SMALL($F$38:$F$60,1),0,1000-((F57-SMALL($F$7:$F$60,1))/SMALL($F$38:$F$60,1)*100)))</f>
        <v/>
      </c>
      <c r="K57" s="16" t="str">
        <f>IFERROR((1000-MINUTE(F57-SMALL($F$38:$F$60,1))),"~")</f>
        <v>~</v>
      </c>
    </row>
    <row r="58" spans="1:11" x14ac:dyDescent="0.25">
      <c r="A58">
        <v>18</v>
      </c>
      <c r="B58" t="s">
        <v>114</v>
      </c>
      <c r="C58" t="s">
        <v>31</v>
      </c>
      <c r="D58">
        <f>VLOOKUP(C58,Lookups!$E$2:$F$47,2,FALSE)</f>
        <v>0.82</v>
      </c>
      <c r="E58" s="30"/>
      <c r="F58" s="29" t="str">
        <f t="shared" si="15"/>
        <v/>
      </c>
      <c r="G58" t="str">
        <f>IF(F58="","",_xlfn.RANK.EQ(F58,$F$38:$F$60,1)+COUNTIF($F$38:F82,F58)-1)</f>
        <v/>
      </c>
      <c r="H58" s="19" t="str">
        <f>IFERROR((1000+200*(AVERAGE($F$38:$F$60)-F58)/_xlfn.STDEV.P($F$38:$F$60)),"")</f>
        <v/>
      </c>
      <c r="I58" s="18" t="str">
        <f>IFERROR(((1000*SMALL($F$38:$F$60,1)/F58)),"")</f>
        <v/>
      </c>
      <c r="J58" s="17" t="str">
        <f>IF(E58="","",IF(F58&gt;=2*SMALL($F$38:$F$60,1),0,1000-((F58-SMALL($F$7:$F$60,1))/SMALL($F$38:$F$60,1)*100)))</f>
        <v/>
      </c>
      <c r="K58" s="16" t="str">
        <f>IFERROR((1000-MINUTE(F58-SMALL($F$38:$F$60,1))),"~")</f>
        <v>~</v>
      </c>
    </row>
    <row r="59" spans="1:11" x14ac:dyDescent="0.25">
      <c r="A59">
        <v>19</v>
      </c>
      <c r="B59" t="s">
        <v>41</v>
      </c>
      <c r="C59" t="s">
        <v>17</v>
      </c>
      <c r="D59">
        <f>VLOOKUP(C59,Lookups!$E$2:$F$47,2,FALSE)</f>
        <v>0.7</v>
      </c>
      <c r="E59" s="30"/>
      <c r="F59" s="29" t="str">
        <f t="shared" si="15"/>
        <v/>
      </c>
      <c r="G59" t="str">
        <f>IF(F59="","",_xlfn.RANK.EQ(F59,$F$38:$F$60,1)+COUNTIF($F$38:F83,F59)-1)</f>
        <v/>
      </c>
      <c r="H59" s="19" t="str">
        <f>IFERROR((1000+200*(AVERAGE($F$38:$F$60)-F59)/_xlfn.STDEV.P($F$38:$F$60)),"")</f>
        <v/>
      </c>
      <c r="I59" s="18" t="str">
        <f>IFERROR(((1000*SMALL($F$38:$F$60,1)/F59)),"")</f>
        <v/>
      </c>
      <c r="J59" s="17" t="str">
        <f>IF(E59="","",IF(F59&gt;=2*SMALL($F$38:$F$60,1),0,1000-((F59-SMALL($F$7:$F$60,1))/SMALL($F$38:$F$60,1)*100)))</f>
        <v/>
      </c>
      <c r="K59" s="16" t="str">
        <f>IFERROR((1000-MINUTE(F59-SMALL($F$38:$F$60,1))),"~")</f>
        <v>~</v>
      </c>
    </row>
    <row r="60" spans="1:11" x14ac:dyDescent="0.25">
      <c r="A60">
        <v>19</v>
      </c>
      <c r="B60" t="s">
        <v>124</v>
      </c>
      <c r="C60" t="s">
        <v>34</v>
      </c>
      <c r="D60">
        <f>VLOOKUP(C60,Lookups!$E$2:$F$47,2,FALSE)</f>
        <v>0.8</v>
      </c>
      <c r="E60" s="30"/>
      <c r="F60" s="29" t="str">
        <f t="shared" si="15"/>
        <v/>
      </c>
      <c r="G60" t="str">
        <f>IF(F60="","",_xlfn.RANK.EQ(F60,$F$38:$F$60,1)+COUNTIF($F$38:F83,F60)-1)</f>
        <v/>
      </c>
      <c r="H60" s="19" t="str">
        <f>IFERROR((1000+200*(AVERAGE($F$38:$F$60)-F60)/_xlfn.STDEV.P($F$38:$F$60)),"")</f>
        <v/>
      </c>
      <c r="I60" s="18" t="str">
        <f>IFERROR(((1000*SMALL($F$38:$F$60,1)/F60)),"")</f>
        <v/>
      </c>
      <c r="J60" s="17" t="str">
        <f>IF(E60="","",IF(F60&gt;=2*SMALL($F$38:$F$60,1),0,1000-((F60-SMALL($F$7:$F$60,1))/SMALL($F$38:$F$60,1)*100)))</f>
        <v/>
      </c>
      <c r="K60" s="16" t="str">
        <f>IFERROR((1000-MINUTE(F60-SMALL($F$38:$F$60,1))),"~")</f>
        <v>~</v>
      </c>
    </row>
    <row r="61" spans="1:11" x14ac:dyDescent="0.25">
      <c r="E61" s="26"/>
    </row>
    <row r="62" spans="1:11" x14ac:dyDescent="0.25">
      <c r="A62" t="s">
        <v>64</v>
      </c>
      <c r="E62" s="26"/>
    </row>
    <row r="63" spans="1:11" ht="30" x14ac:dyDescent="0.25">
      <c r="A63" t="s">
        <v>8</v>
      </c>
      <c r="B63" t="s">
        <v>9</v>
      </c>
      <c r="C63" t="s">
        <v>10</v>
      </c>
      <c r="D63" t="s">
        <v>54</v>
      </c>
      <c r="E63" s="27" t="s">
        <v>95</v>
      </c>
      <c r="F63" s="24" t="s">
        <v>94</v>
      </c>
      <c r="G63" s="24" t="s">
        <v>8</v>
      </c>
      <c r="H63" s="23" t="s">
        <v>93</v>
      </c>
      <c r="I63" s="22" t="s">
        <v>92</v>
      </c>
      <c r="J63" s="21" t="s">
        <v>91</v>
      </c>
      <c r="K63" s="20" t="s">
        <v>90</v>
      </c>
    </row>
    <row r="64" spans="1:11" x14ac:dyDescent="0.25">
      <c r="A64">
        <v>1</v>
      </c>
      <c r="B64" t="s">
        <v>60</v>
      </c>
      <c r="C64" t="s">
        <v>34</v>
      </c>
      <c r="D64">
        <f>VLOOKUP(C64,Lookups!$E$2:$F$47,2,FALSE)</f>
        <v>0.8</v>
      </c>
      <c r="E64" s="30"/>
      <c r="F64" s="29" t="str">
        <f>IF(E64="","",E64*D64)</f>
        <v/>
      </c>
      <c r="G64" t="str">
        <f>IF(F64="","",_xlfn.RANK.EQ(F64,$F$64:$F$82,1)+COUNTIF($F$64:F82,F64)-1)</f>
        <v/>
      </c>
      <c r="H64" s="19" t="str">
        <f t="shared" ref="H64:H82" si="25">IFERROR((1000+200*(AVERAGE($F$64:$F$82)-F64)/_xlfn.STDEV.P($F$64:$F$82)),"")</f>
        <v/>
      </c>
      <c r="I64" s="18" t="str">
        <f t="shared" ref="I64:I82" si="26">IFERROR(((1000*SMALL($F$64:$F$82,1)/F64)),"")</f>
        <v/>
      </c>
      <c r="J64" s="17" t="str">
        <f t="shared" ref="J64:J82" si="27">IF(E64="","",IF(F64&gt;=2*SMALL($F$64:$F$82,1),0,1000-((F64-SMALL($F$64:$F$82,1))/SMALL($F$64:$F$82,1)*100)))</f>
        <v/>
      </c>
      <c r="K64" s="16" t="str">
        <f t="shared" ref="K64:K82" si="28">IFERROR((1000-MINUTE(F64-SMALL($F$64:$F$82,1))),"~")</f>
        <v>~</v>
      </c>
    </row>
    <row r="65" spans="1:11" x14ac:dyDescent="0.25">
      <c r="A65">
        <v>2</v>
      </c>
      <c r="B65" t="s">
        <v>65</v>
      </c>
      <c r="C65" t="s">
        <v>108</v>
      </c>
      <c r="D65">
        <f>VLOOKUP(C65,Lookups!$E$2:$F$47,2,FALSE)</f>
        <v>0.65</v>
      </c>
      <c r="E65" s="30">
        <v>2.75E-2</v>
      </c>
      <c r="F65" s="29">
        <f t="shared" ref="F65:F82" si="29">IF(E65="","",E65*D65)</f>
        <v>1.7875000000000002E-2</v>
      </c>
      <c r="G65">
        <f>IF(F65="","",_xlfn.RANK.EQ(F65,$F$64:$F$82,1)+COUNTIF($F$64:F83,F65)-1)</f>
        <v>1</v>
      </c>
      <c r="H65" s="19">
        <f t="shared" si="25"/>
        <v>1200</v>
      </c>
      <c r="I65" s="18">
        <f t="shared" si="26"/>
        <v>1000.0000000000001</v>
      </c>
      <c r="J65" s="17">
        <f t="shared" si="27"/>
        <v>1000</v>
      </c>
      <c r="K65" s="16">
        <f t="shared" si="28"/>
        <v>1000</v>
      </c>
    </row>
    <row r="66" spans="1:11" x14ac:dyDescent="0.25">
      <c r="A66">
        <v>3</v>
      </c>
      <c r="B66" t="s">
        <v>67</v>
      </c>
      <c r="C66" t="s">
        <v>34</v>
      </c>
      <c r="D66">
        <f>VLOOKUP(C66,Lookups!$E$2:$F$47,2,FALSE)</f>
        <v>0.8</v>
      </c>
      <c r="E66" s="30"/>
      <c r="F66" s="29" t="str">
        <f t="shared" si="29"/>
        <v/>
      </c>
      <c r="G66" t="str">
        <f>IF(F66="","",_xlfn.RANK.EQ(F66,$F$64:$F$82,1)+COUNTIF($F$64:F84,F66)-1)</f>
        <v/>
      </c>
      <c r="H66" s="19" t="str">
        <f t="shared" si="25"/>
        <v/>
      </c>
      <c r="I66" s="18" t="str">
        <f t="shared" si="26"/>
        <v/>
      </c>
      <c r="J66" s="17" t="str">
        <f t="shared" si="27"/>
        <v/>
      </c>
      <c r="K66" s="16" t="str">
        <f t="shared" si="28"/>
        <v>~</v>
      </c>
    </row>
    <row r="67" spans="1:11" x14ac:dyDescent="0.25">
      <c r="B67" t="s">
        <v>44</v>
      </c>
      <c r="C67" t="s">
        <v>45</v>
      </c>
      <c r="D67">
        <f>VLOOKUP(C67,Lookups!$E$2:$F$47,2,FALSE)</f>
        <v>0.67</v>
      </c>
      <c r="E67" s="30"/>
      <c r="F67" s="29" t="str">
        <f t="shared" ref="F67:F71" si="30">IF(E67="","",E67*D67)</f>
        <v/>
      </c>
      <c r="G67" t="str">
        <f>IF(F67="","",_xlfn.RANK.EQ(F67,$F$64:$F$82,1)+COUNTIF($F$64:F85,F67)-1)</f>
        <v/>
      </c>
      <c r="H67" s="19" t="str">
        <f t="shared" si="25"/>
        <v/>
      </c>
      <c r="I67" s="18" t="str">
        <f t="shared" si="26"/>
        <v/>
      </c>
      <c r="J67" s="17" t="str">
        <f t="shared" si="27"/>
        <v/>
      </c>
      <c r="K67" s="16" t="str">
        <f t="shared" si="28"/>
        <v>~</v>
      </c>
    </row>
    <row r="68" spans="1:11" x14ac:dyDescent="0.25">
      <c r="B68" t="s">
        <v>62</v>
      </c>
      <c r="C68" t="s">
        <v>63</v>
      </c>
      <c r="D68">
        <f>VLOOKUP(C68,Lookups!$E$2:$F$47,2,FALSE)</f>
        <v>0.62</v>
      </c>
      <c r="E68" s="30"/>
      <c r="F68" s="29" t="str">
        <f t="shared" si="30"/>
        <v/>
      </c>
      <c r="G68" t="str">
        <f>IF(F68="","",_xlfn.RANK.EQ(F68,$F$64:$F$82,1)+COUNTIF($F$64:F86,F68)-1)</f>
        <v/>
      </c>
      <c r="H68" s="19" t="str">
        <f t="shared" si="25"/>
        <v/>
      </c>
      <c r="I68" s="18" t="str">
        <f t="shared" si="26"/>
        <v/>
      </c>
      <c r="J68" s="17" t="str">
        <f t="shared" si="27"/>
        <v/>
      </c>
      <c r="K68" s="16" t="str">
        <f t="shared" si="28"/>
        <v>~</v>
      </c>
    </row>
    <row r="69" spans="1:11" x14ac:dyDescent="0.25">
      <c r="B69" t="s">
        <v>119</v>
      </c>
      <c r="C69" t="s">
        <v>47</v>
      </c>
      <c r="D69">
        <f>VLOOKUP(C69,Lookups!$E$2:$F$47,2,FALSE)</f>
        <v>0.8</v>
      </c>
      <c r="E69" s="30"/>
      <c r="F69" s="29" t="str">
        <f t="shared" si="30"/>
        <v/>
      </c>
      <c r="G69" t="str">
        <f>IF(F69="","",_xlfn.RANK.EQ(F69,$F$64:$F$82,1)+COUNTIF($F$64:F87,F69)-1)</f>
        <v/>
      </c>
      <c r="H69" s="19" t="str">
        <f t="shared" si="25"/>
        <v/>
      </c>
      <c r="I69" s="18" t="str">
        <f t="shared" si="26"/>
        <v/>
      </c>
      <c r="J69" s="17" t="str">
        <f t="shared" si="27"/>
        <v/>
      </c>
      <c r="K69" s="16" t="str">
        <f t="shared" si="28"/>
        <v>~</v>
      </c>
    </row>
    <row r="70" spans="1:11" x14ac:dyDescent="0.25">
      <c r="B70" t="s">
        <v>112</v>
      </c>
      <c r="C70" t="s">
        <v>17</v>
      </c>
      <c r="D70">
        <f>VLOOKUP(C70,Lookups!$E$2:$F$47,2,FALSE)</f>
        <v>0.7</v>
      </c>
      <c r="E70" s="30"/>
      <c r="F70" s="29" t="str">
        <f t="shared" si="30"/>
        <v/>
      </c>
      <c r="G70" t="str">
        <f>IF(F70="","",_xlfn.RANK.EQ(F70,$F$64:$F$82,1)+COUNTIF($F$64:F88,F70)-1)</f>
        <v/>
      </c>
      <c r="H70" s="19" t="str">
        <f t="shared" si="25"/>
        <v/>
      </c>
      <c r="I70" s="18" t="str">
        <f t="shared" si="26"/>
        <v/>
      </c>
      <c r="J70" s="17" t="str">
        <f t="shared" si="27"/>
        <v/>
      </c>
      <c r="K70" s="16" t="str">
        <f t="shared" si="28"/>
        <v>~</v>
      </c>
    </row>
    <row r="71" spans="1:11" x14ac:dyDescent="0.25">
      <c r="B71" t="s">
        <v>113</v>
      </c>
      <c r="C71" t="s">
        <v>47</v>
      </c>
      <c r="D71">
        <f>VLOOKUP(C71,Lookups!$E$2:$F$47,2,FALSE)</f>
        <v>0.8</v>
      </c>
      <c r="E71" s="30"/>
      <c r="F71" s="29" t="str">
        <f t="shared" si="30"/>
        <v/>
      </c>
      <c r="G71" t="str">
        <f>IF(F71="","",_xlfn.RANK.EQ(F71,$F$64:$F$82,1)+COUNTIF($F$64:F92,F71)-1)</f>
        <v/>
      </c>
      <c r="H71" s="19" t="str">
        <f t="shared" si="25"/>
        <v/>
      </c>
      <c r="I71" s="18" t="str">
        <f t="shared" si="26"/>
        <v/>
      </c>
      <c r="J71" s="17" t="str">
        <f t="shared" si="27"/>
        <v/>
      </c>
      <c r="K71" s="16" t="str">
        <f t="shared" si="28"/>
        <v>~</v>
      </c>
    </row>
    <row r="72" spans="1:11" x14ac:dyDescent="0.25">
      <c r="A72">
        <v>4</v>
      </c>
      <c r="B72" t="s">
        <v>111</v>
      </c>
      <c r="C72" t="s">
        <v>39</v>
      </c>
      <c r="D72">
        <f>VLOOKUP(C72,Lookups!$E$2:$F$47,2,FALSE)</f>
        <v>0.9</v>
      </c>
      <c r="E72" s="30"/>
      <c r="F72" s="29" t="str">
        <f t="shared" si="29"/>
        <v/>
      </c>
      <c r="G72" t="str">
        <f>IF(F72="","",_xlfn.RANK.EQ(F72,$F$64:$F$82,1)+COUNTIF($F$64:F85,F72)-1)</f>
        <v/>
      </c>
      <c r="H72" s="19" t="str">
        <f t="shared" si="25"/>
        <v/>
      </c>
      <c r="I72" s="18" t="str">
        <f t="shared" si="26"/>
        <v/>
      </c>
      <c r="J72" s="17" t="str">
        <f t="shared" si="27"/>
        <v/>
      </c>
      <c r="K72" s="16" t="str">
        <f t="shared" si="28"/>
        <v>~</v>
      </c>
    </row>
    <row r="73" spans="1:11" x14ac:dyDescent="0.25">
      <c r="A73">
        <v>5</v>
      </c>
      <c r="B73" t="s">
        <v>125</v>
      </c>
      <c r="C73" t="s">
        <v>49</v>
      </c>
      <c r="D73">
        <f>VLOOKUP(C73,Lookups!$E$2:$F$47,2,FALSE)</f>
        <v>0.7</v>
      </c>
      <c r="E73" s="30"/>
      <c r="F73" s="29" t="str">
        <f t="shared" si="29"/>
        <v/>
      </c>
      <c r="G73" t="str">
        <f>IF(F73="","",_xlfn.RANK.EQ(F73,$F$64:$F$82,1)+COUNTIF($F$64:F86,F73)-1)</f>
        <v/>
      </c>
      <c r="H73" s="19" t="str">
        <f t="shared" si="25"/>
        <v/>
      </c>
      <c r="I73" s="18" t="str">
        <f t="shared" si="26"/>
        <v/>
      </c>
      <c r="J73" s="17" t="str">
        <f t="shared" si="27"/>
        <v/>
      </c>
      <c r="K73" s="16" t="str">
        <f t="shared" si="28"/>
        <v>~</v>
      </c>
    </row>
    <row r="74" spans="1:11" x14ac:dyDescent="0.25">
      <c r="A74">
        <v>6</v>
      </c>
      <c r="B74" t="s">
        <v>69</v>
      </c>
      <c r="C74" t="s">
        <v>70</v>
      </c>
      <c r="D74">
        <f>VLOOKUP(C74,Lookups!$E$2:$F$47,2,FALSE)</f>
        <v>0.71</v>
      </c>
      <c r="E74" s="30"/>
      <c r="F74" s="29" t="str">
        <f t="shared" si="29"/>
        <v/>
      </c>
      <c r="G74" t="str">
        <f>IF(F74="","",_xlfn.RANK.EQ(F74,$F$64:$F$82,1)+COUNTIF($F$64:F87,F74)-1)</f>
        <v/>
      </c>
      <c r="H74" s="19" t="str">
        <f t="shared" si="25"/>
        <v/>
      </c>
      <c r="I74" s="18" t="str">
        <f t="shared" si="26"/>
        <v/>
      </c>
      <c r="J74" s="17" t="str">
        <f t="shared" si="27"/>
        <v/>
      </c>
      <c r="K74" s="16" t="str">
        <f t="shared" si="28"/>
        <v>~</v>
      </c>
    </row>
    <row r="75" spans="1:11" x14ac:dyDescent="0.25">
      <c r="A75">
        <v>7</v>
      </c>
      <c r="B75" t="s">
        <v>71</v>
      </c>
      <c r="C75" t="s">
        <v>72</v>
      </c>
      <c r="D75">
        <f>VLOOKUP(C75,Lookups!$E$2:$F$47,2,FALSE)</f>
        <v>0.6</v>
      </c>
      <c r="E75" s="30"/>
      <c r="F75" s="29" t="str">
        <f t="shared" si="29"/>
        <v/>
      </c>
      <c r="G75" t="str">
        <f>IF(F75="","",_xlfn.RANK.EQ(F75,$F$64:$F$82,1)+COUNTIF($F$64:F88,F75)-1)</f>
        <v/>
      </c>
      <c r="H75" s="19" t="str">
        <f t="shared" si="25"/>
        <v/>
      </c>
      <c r="I75" s="18" t="str">
        <f t="shared" si="26"/>
        <v/>
      </c>
      <c r="J75" s="17" t="str">
        <f t="shared" si="27"/>
        <v/>
      </c>
      <c r="K75" s="16" t="str">
        <f t="shared" si="28"/>
        <v>~</v>
      </c>
    </row>
    <row r="76" spans="1:11" x14ac:dyDescent="0.25">
      <c r="A76">
        <v>8</v>
      </c>
      <c r="B76" t="s">
        <v>73</v>
      </c>
      <c r="C76" t="s">
        <v>63</v>
      </c>
      <c r="D76">
        <f>VLOOKUP(C76,Lookups!$E$2:$F$47,2,FALSE)</f>
        <v>0.62</v>
      </c>
      <c r="E76" s="30"/>
      <c r="F76" s="29" t="str">
        <f t="shared" si="29"/>
        <v/>
      </c>
      <c r="G76" t="str">
        <f>IF(F76="","",_xlfn.RANK.EQ(F76,$F$64:$F$82,1)+COUNTIF($F$64:F92,F76)-1)</f>
        <v/>
      </c>
      <c r="H76" s="19" t="str">
        <f t="shared" si="25"/>
        <v/>
      </c>
      <c r="I76" s="18" t="str">
        <f t="shared" si="26"/>
        <v/>
      </c>
      <c r="J76" s="17" t="str">
        <f t="shared" si="27"/>
        <v/>
      </c>
      <c r="K76" s="16" t="str">
        <f t="shared" si="28"/>
        <v>~</v>
      </c>
    </row>
    <row r="77" spans="1:11" x14ac:dyDescent="0.25">
      <c r="A77">
        <v>9</v>
      </c>
      <c r="B77" t="s">
        <v>74</v>
      </c>
      <c r="C77" t="s">
        <v>34</v>
      </c>
      <c r="D77">
        <f>VLOOKUP(C77,Lookups!$E$2:$F$47,2,FALSE)</f>
        <v>0.8</v>
      </c>
      <c r="E77" s="30"/>
      <c r="F77" s="29" t="str">
        <f t="shared" si="29"/>
        <v/>
      </c>
      <c r="G77" t="str">
        <f>IF(F77="","",_xlfn.RANK.EQ(F77,$F$64:$F$82,1)+COUNTIF($F$64:F93,F77)-1)</f>
        <v/>
      </c>
      <c r="H77" s="19" t="str">
        <f t="shared" si="25"/>
        <v/>
      </c>
      <c r="I77" s="18" t="str">
        <f t="shared" si="26"/>
        <v/>
      </c>
      <c r="J77" s="17" t="str">
        <f t="shared" si="27"/>
        <v/>
      </c>
      <c r="K77" s="16" t="str">
        <f t="shared" si="28"/>
        <v>~</v>
      </c>
    </row>
    <row r="78" spans="1:11" x14ac:dyDescent="0.25">
      <c r="A78">
        <v>10</v>
      </c>
      <c r="B78" t="s">
        <v>58</v>
      </c>
      <c r="C78" t="s">
        <v>59</v>
      </c>
      <c r="D78">
        <f>VLOOKUP(C78,Lookups!$E$2:$F$47,2,FALSE)</f>
        <v>0.77</v>
      </c>
      <c r="E78" s="30">
        <v>3.1851851851851853E-2</v>
      </c>
      <c r="F78" s="29">
        <f t="shared" si="29"/>
        <v>2.4525925925925927E-2</v>
      </c>
      <c r="G78">
        <f>IF(F78="","",_xlfn.RANK.EQ(F78,$F$64:$F$82,1)+COUNTIF($F$64:F94,F78)-1)</f>
        <v>2</v>
      </c>
      <c r="H78" s="19">
        <f t="shared" si="25"/>
        <v>799.99999999999989</v>
      </c>
      <c r="I78" s="18">
        <f t="shared" si="26"/>
        <v>728.82059800664467</v>
      </c>
      <c r="J78" s="17">
        <f t="shared" si="27"/>
        <v>962.79202279202275</v>
      </c>
      <c r="K78" s="16">
        <f t="shared" si="28"/>
        <v>991</v>
      </c>
    </row>
    <row r="79" spans="1:11" x14ac:dyDescent="0.25">
      <c r="A79">
        <v>11</v>
      </c>
      <c r="B79" t="s">
        <v>76</v>
      </c>
      <c r="C79" t="s">
        <v>19</v>
      </c>
      <c r="D79">
        <f>VLOOKUP(C79,Lookups!$E$2:$F$47,2,FALSE)</f>
        <v>0.63</v>
      </c>
      <c r="E79" s="30"/>
      <c r="F79" s="29" t="str">
        <f t="shared" si="29"/>
        <v/>
      </c>
      <c r="G79" t="str">
        <f>IF(F79="","",_xlfn.RANK.EQ(F79,$F$64:$F$82,1)+COUNTIF($F$64:F95,F79)-1)</f>
        <v/>
      </c>
      <c r="H79" s="19" t="str">
        <f t="shared" si="25"/>
        <v/>
      </c>
      <c r="I79" s="18" t="str">
        <f t="shared" si="26"/>
        <v/>
      </c>
      <c r="J79" s="17" t="str">
        <f t="shared" si="27"/>
        <v/>
      </c>
      <c r="K79" s="16" t="str">
        <f t="shared" si="28"/>
        <v>~</v>
      </c>
    </row>
    <row r="80" spans="1:11" x14ac:dyDescent="0.25">
      <c r="A80">
        <v>12</v>
      </c>
      <c r="B80" t="s">
        <v>77</v>
      </c>
      <c r="C80" t="s">
        <v>49</v>
      </c>
      <c r="D80">
        <f>VLOOKUP(C80,Lookups!$E$2:$F$47,2,FALSE)</f>
        <v>0.7</v>
      </c>
      <c r="E80" s="30"/>
      <c r="F80" s="29" t="str">
        <f t="shared" si="29"/>
        <v/>
      </c>
      <c r="G80" t="str">
        <f>IF(F80="","",_xlfn.RANK.EQ(F80,$F$64:$F$82,1)+COUNTIF($F$64:F96,F80)-1)</f>
        <v/>
      </c>
      <c r="H80" s="19" t="str">
        <f t="shared" si="25"/>
        <v/>
      </c>
      <c r="I80" s="18" t="str">
        <f t="shared" si="26"/>
        <v/>
      </c>
      <c r="J80" s="17" t="str">
        <f t="shared" si="27"/>
        <v/>
      </c>
      <c r="K80" s="16" t="str">
        <f t="shared" si="28"/>
        <v>~</v>
      </c>
    </row>
    <row r="81" spans="1:11" x14ac:dyDescent="0.25">
      <c r="A81">
        <v>13</v>
      </c>
      <c r="B81" t="s">
        <v>57</v>
      </c>
      <c r="C81" t="s">
        <v>49</v>
      </c>
      <c r="D81">
        <f>VLOOKUP(C81,Lookups!$E$2:$F$47,2,FALSE)</f>
        <v>0.7</v>
      </c>
      <c r="E81" s="30"/>
      <c r="F81" s="29" t="str">
        <f t="shared" si="29"/>
        <v/>
      </c>
      <c r="G81" t="str">
        <f>IF(F81="","",_xlfn.RANK.EQ(F81,$F$64:$F$82,1)+COUNTIF($F$64:F97,F81)-1)</f>
        <v/>
      </c>
      <c r="H81" s="19" t="str">
        <f t="shared" si="25"/>
        <v/>
      </c>
      <c r="I81" s="18" t="str">
        <f t="shared" si="26"/>
        <v/>
      </c>
      <c r="J81" s="17" t="str">
        <f t="shared" si="27"/>
        <v/>
      </c>
      <c r="K81" s="16" t="str">
        <f t="shared" si="28"/>
        <v>~</v>
      </c>
    </row>
    <row r="82" spans="1:11" x14ac:dyDescent="0.25">
      <c r="A82">
        <v>14</v>
      </c>
      <c r="B82" t="s">
        <v>79</v>
      </c>
      <c r="C82" t="s">
        <v>80</v>
      </c>
      <c r="D82">
        <f>VLOOKUP(C82,Lookups!$E$2:$F$47,2,FALSE)</f>
        <v>0.53</v>
      </c>
      <c r="E82" s="30"/>
      <c r="F82" s="29" t="str">
        <f t="shared" si="29"/>
        <v/>
      </c>
      <c r="G82" t="str">
        <f>IF(F82="","",_xlfn.RANK.EQ(F82,$F$64:$F$82,1)+COUNTIF($F$64:F98,F82)-1)</f>
        <v/>
      </c>
      <c r="H82" s="19" t="str">
        <f t="shared" si="25"/>
        <v/>
      </c>
      <c r="I82" s="18" t="str">
        <f t="shared" si="26"/>
        <v/>
      </c>
      <c r="J82" s="17" t="str">
        <f t="shared" si="27"/>
        <v/>
      </c>
      <c r="K82" s="16" t="str">
        <f t="shared" si="28"/>
        <v>~</v>
      </c>
    </row>
    <row r="83" spans="1:11" x14ac:dyDescent="0.25">
      <c r="E83" s="26"/>
    </row>
    <row r="84" spans="1:11" x14ac:dyDescent="0.25">
      <c r="A84" t="s">
        <v>81</v>
      </c>
      <c r="E84" s="26"/>
    </row>
    <row r="85" spans="1:11" ht="30" x14ac:dyDescent="0.25">
      <c r="A85" t="s">
        <v>8</v>
      </c>
      <c r="B85" t="s">
        <v>9</v>
      </c>
      <c r="C85" t="s">
        <v>10</v>
      </c>
      <c r="D85" t="s">
        <v>54</v>
      </c>
      <c r="E85" s="27" t="s">
        <v>95</v>
      </c>
      <c r="F85" s="24" t="s">
        <v>94</v>
      </c>
      <c r="G85" s="24" t="s">
        <v>8</v>
      </c>
      <c r="H85" s="23" t="s">
        <v>93</v>
      </c>
      <c r="I85" s="22" t="s">
        <v>92</v>
      </c>
      <c r="J85" s="21" t="s">
        <v>91</v>
      </c>
      <c r="K85" s="20" t="s">
        <v>90</v>
      </c>
    </row>
    <row r="86" spans="1:11" x14ac:dyDescent="0.25">
      <c r="A86">
        <v>1</v>
      </c>
      <c r="B86" t="s">
        <v>65</v>
      </c>
      <c r="C86" t="s">
        <v>108</v>
      </c>
      <c r="D86">
        <f>VLOOKUP(C86,Lookups!$E$2:$F$47,2,FALSE)</f>
        <v>0.65</v>
      </c>
      <c r="E86" s="30"/>
      <c r="F86" s="29" t="str">
        <f>IF(E86="","",E86*D86)</f>
        <v/>
      </c>
      <c r="G86" t="str">
        <f>IF(F86="","",_xlfn.RANK.EQ(F86,$F$86:$F$99,1)+COUNTIF($F$86:F99,F86)-1)</f>
        <v/>
      </c>
      <c r="H86" s="19" t="str">
        <f>IFERROR((1000+200*(AVERAGE($F$86:$F$99)-F86)/_xlfn.STDEV.P($F$86:$F$99)),"")</f>
        <v/>
      </c>
      <c r="I86" s="18" t="str">
        <f>IFERROR(((1000*SMALL($F$86:$F$99,1)/F86)),"")</f>
        <v/>
      </c>
      <c r="J86" s="17" t="str">
        <f>IF(E86="","",IF(F86&gt;=2*SMALL($F$86:$F$99,1),0,1000-((F86-SMALL($F$86:$F$99,1))/SMALL($F$86:$F$99,1)*100)))</f>
        <v/>
      </c>
      <c r="K86" s="16" t="str">
        <f>IFERROR((1000-MINUTE(F86-SMALL($F$86:$F$99,1))),"~")</f>
        <v>~</v>
      </c>
    </row>
    <row r="87" spans="1:11" x14ac:dyDescent="0.25">
      <c r="A87">
        <v>2</v>
      </c>
      <c r="B87" t="s">
        <v>68</v>
      </c>
      <c r="C87" t="s">
        <v>63</v>
      </c>
      <c r="D87">
        <f>VLOOKUP(C87,Lookups!$E$2:$F$47,2,FALSE)</f>
        <v>0.62</v>
      </c>
      <c r="E87" s="30"/>
      <c r="F87" s="29" t="str">
        <f t="shared" ref="F87:F99" si="31">IF(E87="","",E87*D87)</f>
        <v/>
      </c>
      <c r="G87" t="str">
        <f>IF(F87="","",_xlfn.RANK.EQ(F87,$F$86:$F$99,1)+COUNTIF($F$86:F100,F87)-1)</f>
        <v/>
      </c>
      <c r="H87" s="19" t="str">
        <f t="shared" ref="H87:H99" si="32">IFERROR((1000+200*(AVERAGE($F$86:$F$99)-F87)/_xlfn.STDEV.P($F$86:$F$99)),"")</f>
        <v/>
      </c>
      <c r="I87" s="18" t="str">
        <f t="shared" ref="I87:I99" si="33">IFERROR(((1000*SMALL($F$86:$F$99,1)/F87)),"")</f>
        <v/>
      </c>
      <c r="J87" s="17" t="str">
        <f t="shared" ref="J87:J99" si="34">IF(E87="","",IF(F87&gt;=2*SMALL($F$86:$F$99,1),0,1000-((F87-SMALL($F$86:$F$99,1))/SMALL($F$86:$F$99,1)*100)))</f>
        <v/>
      </c>
      <c r="K87" s="16" t="str">
        <f t="shared" ref="K87:K99" si="35">IFERROR((1000-MINUTE(F87-SMALL($F$86:$F$99,1))),"~")</f>
        <v>~</v>
      </c>
    </row>
    <row r="88" spans="1:11" x14ac:dyDescent="0.25">
      <c r="A88">
        <v>3</v>
      </c>
      <c r="B88" t="s">
        <v>71</v>
      </c>
      <c r="C88" t="s">
        <v>72</v>
      </c>
      <c r="D88">
        <f>VLOOKUP(C88,Lookups!$E$2:$F$47,2,FALSE)</f>
        <v>0.6</v>
      </c>
      <c r="E88" s="30"/>
      <c r="F88" s="29" t="str">
        <f t="shared" si="31"/>
        <v/>
      </c>
      <c r="G88" t="str">
        <f>IF(F88="","",_xlfn.RANK.EQ(F88,$F$86:$F$99,1)+COUNTIF($F$86:F101,F88)-1)</f>
        <v/>
      </c>
      <c r="H88" s="19" t="str">
        <f t="shared" si="32"/>
        <v/>
      </c>
      <c r="I88" s="18" t="str">
        <f t="shared" si="33"/>
        <v/>
      </c>
      <c r="J88" s="17" t="str">
        <f t="shared" si="34"/>
        <v/>
      </c>
      <c r="K88" s="16" t="str">
        <f t="shared" si="35"/>
        <v>~</v>
      </c>
    </row>
    <row r="89" spans="1:11" x14ac:dyDescent="0.25">
      <c r="B89" t="s">
        <v>120</v>
      </c>
      <c r="C89" t="s">
        <v>72</v>
      </c>
      <c r="D89">
        <f>VLOOKUP(C89,Lookups!$E$2:$F$47,2,FALSE)</f>
        <v>0.6</v>
      </c>
      <c r="E89" s="30"/>
      <c r="F89" s="29" t="str">
        <f t="shared" ref="F89:F92" si="36">IF(E89="","",E89*D89)</f>
        <v/>
      </c>
      <c r="G89" t="str">
        <f>IF(F89="","",_xlfn.RANK.EQ(F89,$F$86:$F$99,1)+COUNTIF($F$86:F102,F89)-1)</f>
        <v/>
      </c>
      <c r="H89" s="19" t="str">
        <f t="shared" ref="H89:H92" si="37">IFERROR((1000+200*(AVERAGE($F$86:$F$99)-F89)/_xlfn.STDEV.P($F$86:$F$99)),"")</f>
        <v/>
      </c>
      <c r="I89" s="18" t="str">
        <f t="shared" ref="I89:I92" si="38">IFERROR(((1000*SMALL($F$86:$F$99,1)/F89)),"")</f>
        <v/>
      </c>
      <c r="J89" s="17" t="str">
        <f t="shared" ref="J89:J92" si="39">IF(E89="","",IF(F89&gt;=2*SMALL($F$86:$F$99,1),0,1000-((F89-SMALL($F$86:$F$99,1))/SMALL($F$86:$F$99,1)*100)))</f>
        <v/>
      </c>
      <c r="K89" s="16" t="str">
        <f t="shared" ref="K89:K92" si="40">IFERROR((1000-MINUTE(F89-SMALL($F$86:$F$99,1))),"~")</f>
        <v>~</v>
      </c>
    </row>
    <row r="90" spans="1:11" x14ac:dyDescent="0.25">
      <c r="B90" t="s">
        <v>122</v>
      </c>
      <c r="C90" t="s">
        <v>66</v>
      </c>
      <c r="D90">
        <f>VLOOKUP(C90,Lookups!$E$2:$F$47,2,FALSE)</f>
        <v>0.57999999999999996</v>
      </c>
      <c r="E90" s="30"/>
      <c r="F90" s="29" t="str">
        <f t="shared" si="36"/>
        <v/>
      </c>
      <c r="G90" t="str">
        <f>IF(F90="","",_xlfn.RANK.EQ(F90,$F$86:$F$99,1)+COUNTIF($F$86:F103,F90)-1)</f>
        <v/>
      </c>
      <c r="H90" s="19" t="str">
        <f t="shared" si="37"/>
        <v/>
      </c>
      <c r="I90" s="18" t="str">
        <f t="shared" si="38"/>
        <v/>
      </c>
      <c r="J90" s="17" t="str">
        <f t="shared" si="39"/>
        <v/>
      </c>
      <c r="K90" s="16" t="str">
        <f t="shared" si="40"/>
        <v>~</v>
      </c>
    </row>
    <row r="91" spans="1:11" x14ac:dyDescent="0.25">
      <c r="B91" t="s">
        <v>121</v>
      </c>
      <c r="C91" t="s">
        <v>72</v>
      </c>
      <c r="D91">
        <f>VLOOKUP(C91,Lookups!$E$2:$F$47,2,FALSE)</f>
        <v>0.6</v>
      </c>
      <c r="E91" s="30"/>
      <c r="F91" s="29" t="str">
        <f t="shared" si="36"/>
        <v/>
      </c>
      <c r="G91" t="str">
        <f>IF(F91="","",_xlfn.RANK.EQ(F91,$F$86:$F$99,1)+COUNTIF($F$86:F104,F91)-1)</f>
        <v/>
      </c>
      <c r="H91" s="19" t="str">
        <f t="shared" si="37"/>
        <v/>
      </c>
      <c r="I91" s="18" t="str">
        <f t="shared" si="38"/>
        <v/>
      </c>
      <c r="J91" s="17" t="str">
        <f t="shared" si="39"/>
        <v/>
      </c>
      <c r="K91" s="16" t="str">
        <f t="shared" si="40"/>
        <v>~</v>
      </c>
    </row>
    <row r="92" spans="1:11" x14ac:dyDescent="0.25">
      <c r="A92">
        <v>4</v>
      </c>
      <c r="B92" t="s">
        <v>83</v>
      </c>
      <c r="C92" t="s">
        <v>66</v>
      </c>
      <c r="D92">
        <f>VLOOKUP(C92,Lookups!$E$2:$F$47,2,FALSE)</f>
        <v>0.57999999999999996</v>
      </c>
      <c r="E92" s="30"/>
      <c r="F92" s="29" t="str">
        <f t="shared" si="36"/>
        <v/>
      </c>
      <c r="G92" t="str">
        <f>IF(F92="","",_xlfn.RANK.EQ(F92,$F$86:$F$99,1)+COUNTIF($F$86:F105,F92)-1)</f>
        <v/>
      </c>
      <c r="H92" s="19" t="str">
        <f t="shared" si="37"/>
        <v/>
      </c>
      <c r="I92" s="18" t="str">
        <f t="shared" si="38"/>
        <v/>
      </c>
      <c r="J92" s="17" t="str">
        <f t="shared" si="39"/>
        <v/>
      </c>
      <c r="K92" s="16" t="str">
        <f t="shared" si="40"/>
        <v>~</v>
      </c>
    </row>
    <row r="93" spans="1:11" x14ac:dyDescent="0.25">
      <c r="A93">
        <v>4</v>
      </c>
      <c r="B93" t="s">
        <v>112</v>
      </c>
      <c r="C93" t="s">
        <v>17</v>
      </c>
      <c r="D93">
        <f>VLOOKUP(C93,Lookups!$E$2:$F$47,2,FALSE)</f>
        <v>0.7</v>
      </c>
      <c r="E93" s="30">
        <v>1.3668981481481482E-2</v>
      </c>
      <c r="F93" s="29">
        <f t="shared" si="31"/>
        <v>9.5682870370370366E-3</v>
      </c>
      <c r="G93">
        <f>IF(F93="","",_xlfn.RANK.EQ(F93,$F$86:$F$99,1)+COUNTIF($F$86:F103,F93)-1)</f>
        <v>1</v>
      </c>
      <c r="H93" s="19">
        <f t="shared" si="32"/>
        <v>1200</v>
      </c>
      <c r="I93" s="18">
        <f t="shared" si="33"/>
        <v>1000</v>
      </c>
      <c r="J93" s="17">
        <f t="shared" si="34"/>
        <v>1000</v>
      </c>
      <c r="K93" s="16">
        <f t="shared" si="35"/>
        <v>1000</v>
      </c>
    </row>
    <row r="94" spans="1:11" x14ac:dyDescent="0.25">
      <c r="A94">
        <v>6</v>
      </c>
      <c r="B94" t="s">
        <v>85</v>
      </c>
      <c r="C94" t="s">
        <v>72</v>
      </c>
      <c r="D94">
        <f>VLOOKUP(C94,Lookups!$E$2:$F$47,2,FALSE)</f>
        <v>0.6</v>
      </c>
      <c r="E94" s="30"/>
      <c r="F94" s="29" t="str">
        <f t="shared" si="31"/>
        <v/>
      </c>
      <c r="G94" t="str">
        <f>IF(F94="","",_xlfn.RANK.EQ(F94,$F$86:$F$99,1)+COUNTIF($F$86:F104,F94)-1)</f>
        <v/>
      </c>
      <c r="H94" s="19" t="str">
        <f t="shared" si="32"/>
        <v/>
      </c>
      <c r="I94" s="18" t="str">
        <f t="shared" si="33"/>
        <v/>
      </c>
      <c r="J94" s="17" t="str">
        <f t="shared" si="34"/>
        <v/>
      </c>
      <c r="K94" s="16" t="str">
        <f t="shared" si="35"/>
        <v>~</v>
      </c>
    </row>
    <row r="95" spans="1:11" x14ac:dyDescent="0.25">
      <c r="A95">
        <v>7</v>
      </c>
      <c r="B95" t="s">
        <v>57</v>
      </c>
      <c r="C95" t="s">
        <v>49</v>
      </c>
      <c r="D95">
        <f>VLOOKUP(C95,Lookups!$E$2:$F$47,2,FALSE)</f>
        <v>0.7</v>
      </c>
      <c r="E95" s="30"/>
      <c r="F95" s="29" t="str">
        <f t="shared" si="31"/>
        <v/>
      </c>
      <c r="G95" t="str">
        <f>IF(F95="","",_xlfn.RANK.EQ(F95,$F$86:$F$99,1)+COUNTIF($F$86:F105,F95)-1)</f>
        <v/>
      </c>
      <c r="H95" s="19" t="str">
        <f t="shared" si="32"/>
        <v/>
      </c>
      <c r="I95" s="18" t="str">
        <f t="shared" si="33"/>
        <v/>
      </c>
      <c r="J95" s="17" t="str">
        <f t="shared" si="34"/>
        <v/>
      </c>
      <c r="K95" s="16" t="str">
        <f t="shared" si="35"/>
        <v>~</v>
      </c>
    </row>
    <row r="96" spans="1:11" x14ac:dyDescent="0.25">
      <c r="A96">
        <v>8</v>
      </c>
      <c r="B96" t="s">
        <v>86</v>
      </c>
      <c r="C96" t="s">
        <v>66</v>
      </c>
      <c r="D96">
        <f>VLOOKUP(C96,Lookups!$E$2:$F$47,2,FALSE)</f>
        <v>0.57999999999999996</v>
      </c>
      <c r="E96" s="30"/>
      <c r="F96" s="29" t="str">
        <f t="shared" si="31"/>
        <v/>
      </c>
      <c r="G96" t="str">
        <f>IF(F96="","",_xlfn.RANK.EQ(F96,$F$86:$F$99,1)+COUNTIF($F$86:F106,F96)-1)</f>
        <v/>
      </c>
      <c r="H96" s="19" t="str">
        <f t="shared" si="32"/>
        <v/>
      </c>
      <c r="I96" s="18" t="str">
        <f t="shared" si="33"/>
        <v/>
      </c>
      <c r="J96" s="17" t="str">
        <f t="shared" si="34"/>
        <v/>
      </c>
      <c r="K96" s="16" t="str">
        <f t="shared" si="35"/>
        <v>~</v>
      </c>
    </row>
    <row r="97" spans="1:11" x14ac:dyDescent="0.25">
      <c r="A97">
        <v>9</v>
      </c>
      <c r="B97" t="s">
        <v>77</v>
      </c>
      <c r="C97" t="s">
        <v>34</v>
      </c>
      <c r="D97">
        <f>VLOOKUP(C97,Lookups!$E$2:$F$47,2,FALSE)</f>
        <v>0.8</v>
      </c>
      <c r="E97" s="30">
        <v>1.7719907407407406E-2</v>
      </c>
      <c r="F97" s="29">
        <f t="shared" si="31"/>
        <v>1.4175925925925925E-2</v>
      </c>
      <c r="G97">
        <f>IF(F97="","",_xlfn.RANK.EQ(F97,$F$86:$F$99,1)+COUNTIF($F$86:F107,F97)-1)</f>
        <v>2</v>
      </c>
      <c r="H97" s="19">
        <f t="shared" si="32"/>
        <v>799.99999999999989</v>
      </c>
      <c r="I97" s="18">
        <f t="shared" si="33"/>
        <v>674.96734160679296</v>
      </c>
      <c r="J97" s="17">
        <f t="shared" si="34"/>
        <v>951.84468368210958</v>
      </c>
      <c r="K97" s="16">
        <f t="shared" si="35"/>
        <v>994</v>
      </c>
    </row>
    <row r="98" spans="1:11" x14ac:dyDescent="0.25">
      <c r="A98">
        <v>9</v>
      </c>
      <c r="B98" t="s">
        <v>88</v>
      </c>
      <c r="C98" t="s">
        <v>66</v>
      </c>
      <c r="D98">
        <f>VLOOKUP(C98,Lookups!$E$2:$F$47,2,FALSE)</f>
        <v>0.57999999999999996</v>
      </c>
      <c r="E98" s="30"/>
      <c r="F98" s="29" t="str">
        <f t="shared" si="31"/>
        <v/>
      </c>
      <c r="G98" t="str">
        <f>IF(F98="","",_xlfn.RANK.EQ(F98,$F$86:$F$99,1)+COUNTIF($F$86:F108,F98)-1)</f>
        <v/>
      </c>
      <c r="H98" s="19" t="str">
        <f t="shared" si="32"/>
        <v/>
      </c>
      <c r="I98" s="18" t="str">
        <f t="shared" si="33"/>
        <v/>
      </c>
      <c r="J98" s="17" t="str">
        <f t="shared" si="34"/>
        <v/>
      </c>
      <c r="K98" s="16" t="str">
        <f t="shared" si="35"/>
        <v>~</v>
      </c>
    </row>
    <row r="99" spans="1:11" x14ac:dyDescent="0.25">
      <c r="A99">
        <v>9</v>
      </c>
      <c r="B99" t="s">
        <v>89</v>
      </c>
      <c r="C99" t="s">
        <v>72</v>
      </c>
      <c r="D99">
        <f>VLOOKUP(C99,Lookups!$E$2:$F$47,2,FALSE)</f>
        <v>0.6</v>
      </c>
      <c r="E99" s="30"/>
      <c r="F99" s="29" t="str">
        <f t="shared" si="31"/>
        <v/>
      </c>
      <c r="G99" t="str">
        <f>IF(F99="","",_xlfn.RANK.EQ(F99,$F$86:$F$99,1)+COUNTIF($F$86:F109,F99)-1)</f>
        <v/>
      </c>
      <c r="H99" s="19" t="str">
        <f t="shared" si="32"/>
        <v/>
      </c>
      <c r="I99" s="18" t="str">
        <f t="shared" si="33"/>
        <v/>
      </c>
      <c r="J99" s="17" t="str">
        <f t="shared" si="34"/>
        <v/>
      </c>
      <c r="K99" s="16" t="str">
        <f t="shared" si="35"/>
        <v>~</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
  <sheetViews>
    <sheetView topLeftCell="A7" zoomScale="90" zoomScaleNormal="90" workbookViewId="0">
      <selection activeCell="K20" sqref="K20"/>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 min="13" max="13" width="11.5703125" bestFit="1" customWidth="1"/>
  </cols>
  <sheetData>
    <row r="2" spans="1:18" x14ac:dyDescent="0.25">
      <c r="E2" s="30">
        <v>7.829861111111111E-2</v>
      </c>
      <c r="F2" s="29">
        <f>E2*D7</f>
        <v>6.2638888888888897E-2</v>
      </c>
    </row>
    <row r="5" spans="1:18" x14ac:dyDescent="0.25">
      <c r="A5" t="s">
        <v>7</v>
      </c>
    </row>
    <row r="6" spans="1:18" ht="30" x14ac:dyDescent="0.25">
      <c r="A6" s="24" t="s">
        <v>8</v>
      </c>
      <c r="B6" s="24" t="s">
        <v>9</v>
      </c>
      <c r="C6" s="24" t="s">
        <v>10</v>
      </c>
      <c r="D6" s="24" t="s">
        <v>12</v>
      </c>
      <c r="E6" s="28" t="s">
        <v>95</v>
      </c>
      <c r="F6" s="24" t="s">
        <v>94</v>
      </c>
      <c r="G6" s="24" t="s">
        <v>8</v>
      </c>
      <c r="H6" s="23" t="s">
        <v>93</v>
      </c>
      <c r="I6" s="22" t="s">
        <v>92</v>
      </c>
      <c r="J6" s="21" t="s">
        <v>91</v>
      </c>
      <c r="K6" s="20" t="s">
        <v>90</v>
      </c>
    </row>
    <row r="7" spans="1:18" x14ac:dyDescent="0.25">
      <c r="A7">
        <v>1</v>
      </c>
      <c r="B7" t="s">
        <v>16</v>
      </c>
      <c r="C7" t="s">
        <v>110</v>
      </c>
      <c r="D7">
        <f>VLOOKUP(C7,Lookups!$E$2:$F$47,2,FALSE)</f>
        <v>0.8</v>
      </c>
      <c r="E7" s="30"/>
      <c r="F7" s="29" t="str">
        <f t="shared" ref="F7:F33" si="0">IF(E7="","",E7*D7)</f>
        <v/>
      </c>
      <c r="G7" t="str">
        <f>IF(F7="","",_xlfn.RANK.EQ(F7,$F$7:$F$33,1)+COUNTIF($F$7:F7,F7)-1)</f>
        <v/>
      </c>
      <c r="H7" s="19" t="str">
        <f t="shared" ref="H7:H33" si="1">IFERROR((1000+200*(AVERAGE($F$7:$F$33)-F7)/_xlfn.STDEV.P($F$7:$F$33)),"")</f>
        <v/>
      </c>
      <c r="I7" s="18" t="str">
        <f>IFERROR(((1000*SMALL($F$7:$F$33,1)/F7)),"")</f>
        <v/>
      </c>
      <c r="J7" s="17" t="str">
        <f t="shared" ref="J7:J33" si="2">IF(E7="","",IF(F7&gt;=2*SMALL($F$7:$F$33,1),0,1000-((F7-SMALL($F$7:$F$33,1))/SMALL($F$7:$F$33,1)*100)))</f>
        <v/>
      </c>
      <c r="K7" s="16" t="str">
        <f t="shared" ref="K7:K33" si="3">IFERROR((1000-MINUTE(F7-SMALL($F$7:$F$33,1))),"~")</f>
        <v>~</v>
      </c>
    </row>
    <row r="8" spans="1:18" x14ac:dyDescent="0.25">
      <c r="A8">
        <v>2</v>
      </c>
      <c r="B8" t="s">
        <v>20</v>
      </c>
      <c r="C8" t="s">
        <v>39</v>
      </c>
      <c r="D8">
        <f>VLOOKUP(C8,Lookups!$E$2:$F$47,2,FALSE)</f>
        <v>0.9</v>
      </c>
      <c r="E8" s="30">
        <v>3.7731481481481484E-2</v>
      </c>
      <c r="F8" s="29">
        <f t="shared" si="0"/>
        <v>3.3958333333333333E-2</v>
      </c>
      <c r="G8">
        <f>IF(F8="","",_xlfn.RANK.EQ(F8,$F$7:$F$33,1)+COUNTIF($F$7:F8,F8)-1)</f>
        <v>3</v>
      </c>
      <c r="H8" s="19">
        <f t="shared" si="1"/>
        <v>1162.7785212270849</v>
      </c>
      <c r="I8" s="18">
        <f>IFERROR(((1000*SMALL($F$7:$F$33,1)/F8)),"")</f>
        <v>867.05521472392638</v>
      </c>
      <c r="J8" s="17">
        <f t="shared" si="2"/>
        <v>984.66709120498126</v>
      </c>
      <c r="K8" s="16">
        <f t="shared" si="3"/>
        <v>994</v>
      </c>
    </row>
    <row r="9" spans="1:18" x14ac:dyDescent="0.25">
      <c r="A9">
        <v>3</v>
      </c>
      <c r="B9" t="s">
        <v>3</v>
      </c>
      <c r="C9" t="s">
        <v>19</v>
      </c>
      <c r="D9">
        <f>VLOOKUP(C9,Lookups!$E$2:$F$47,2,FALSE)</f>
        <v>0.63</v>
      </c>
      <c r="E9" s="30">
        <v>4.673611111111111E-2</v>
      </c>
      <c r="F9" s="29">
        <f t="shared" si="0"/>
        <v>2.9443750000000001E-2</v>
      </c>
      <c r="G9">
        <f>IF(F9="","",_xlfn.RANK.EQ(F9,$F$7:$F$33,1)+COUNTIF($F$7:F9,F9)-1)</f>
        <v>1</v>
      </c>
      <c r="H9" s="19">
        <f t="shared" si="1"/>
        <v>1264.2852961389842</v>
      </c>
      <c r="I9" s="18">
        <f t="shared" ref="I9:I33" si="4">IFERROR(((1000*SMALL($F$7:$F$33,1)/F9)),"")</f>
        <v>1000</v>
      </c>
      <c r="J9" s="17">
        <f t="shared" si="2"/>
        <v>1000</v>
      </c>
      <c r="K9" s="16">
        <f t="shared" si="3"/>
        <v>1000</v>
      </c>
    </row>
    <row r="10" spans="1:18" x14ac:dyDescent="0.25">
      <c r="A10">
        <v>4</v>
      </c>
      <c r="B10" t="s">
        <v>23</v>
      </c>
      <c r="C10" t="s">
        <v>24</v>
      </c>
      <c r="D10">
        <f>VLOOKUP(C10,Lookups!$E$2:$F$47,2,FALSE)</f>
        <v>0.7</v>
      </c>
      <c r="E10" s="30"/>
      <c r="F10" s="29" t="str">
        <f t="shared" si="0"/>
        <v/>
      </c>
      <c r="G10" t="str">
        <f>IF(F10="","",_xlfn.RANK.EQ(F10,$F$7:$F$33,1)+COUNTIF($F$7:F10,F10)-1)</f>
        <v/>
      </c>
      <c r="H10" s="19" t="str">
        <f t="shared" si="1"/>
        <v/>
      </c>
      <c r="I10" s="18" t="str">
        <f t="shared" si="4"/>
        <v/>
      </c>
      <c r="J10" s="17" t="str">
        <f t="shared" si="2"/>
        <v/>
      </c>
      <c r="K10" s="16" t="str">
        <f t="shared" si="3"/>
        <v>~</v>
      </c>
      <c r="P10" s="25"/>
    </row>
    <row r="11" spans="1:18" x14ac:dyDescent="0.25">
      <c r="A11">
        <v>5</v>
      </c>
      <c r="B11" t="s">
        <v>6</v>
      </c>
      <c r="C11" t="s">
        <v>19</v>
      </c>
      <c r="D11">
        <f>VLOOKUP(C11,Lookups!$E$2:$F$47,2,FALSE)</f>
        <v>0.63</v>
      </c>
      <c r="E11" s="30"/>
      <c r="F11" s="29" t="str">
        <f t="shared" si="0"/>
        <v/>
      </c>
      <c r="G11" t="str">
        <f>IF(F11="","",_xlfn.RANK.EQ(F11,$F$7:$F$33,1)+COUNTIF($F$7:F11,F11)-1)</f>
        <v/>
      </c>
      <c r="H11" s="19" t="str">
        <f t="shared" si="1"/>
        <v/>
      </c>
      <c r="I11" s="18" t="str">
        <f t="shared" si="4"/>
        <v/>
      </c>
      <c r="J11" s="17" t="str">
        <f t="shared" si="2"/>
        <v/>
      </c>
      <c r="K11" s="16" t="str">
        <f t="shared" si="3"/>
        <v>~</v>
      </c>
      <c r="R11">
        <f t="shared" ref="R11:R17" ca="1" si="5">RANDBETWEEN(45,200)</f>
        <v>148</v>
      </c>
    </row>
    <row r="12" spans="1:18" x14ac:dyDescent="0.25">
      <c r="A12">
        <v>6</v>
      </c>
      <c r="B12" t="s">
        <v>0</v>
      </c>
      <c r="C12" t="s">
        <v>27</v>
      </c>
      <c r="D12">
        <f>VLOOKUP(C12,Lookups!$E$2:$F$47,2,FALSE)</f>
        <v>0.86</v>
      </c>
      <c r="E12" s="30">
        <v>5.3425925925925925E-2</v>
      </c>
      <c r="F12" s="29">
        <f t="shared" si="0"/>
        <v>4.5946296296296298E-2</v>
      </c>
      <c r="G12">
        <f>IF(F12="","",_xlfn.RANK.EQ(F12,$F$7:$F$33,1)+COUNTIF($F$7:F12,F12)-1)</f>
        <v>7</v>
      </c>
      <c r="H12" s="19">
        <f t="shared" si="1"/>
        <v>893.23881661049006</v>
      </c>
      <c r="I12" s="18">
        <f t="shared" si="4"/>
        <v>640.82967232276008</v>
      </c>
      <c r="J12" s="17">
        <f t="shared" si="2"/>
        <v>943.95229447235397</v>
      </c>
      <c r="K12" s="16">
        <f t="shared" si="3"/>
        <v>977</v>
      </c>
      <c r="R12">
        <f t="shared" ca="1" si="5"/>
        <v>134</v>
      </c>
    </row>
    <row r="13" spans="1:18" x14ac:dyDescent="0.25">
      <c r="A13">
        <v>7</v>
      </c>
      <c r="B13" t="s">
        <v>5</v>
      </c>
      <c r="C13" t="s">
        <v>43</v>
      </c>
      <c r="D13">
        <f>VLOOKUP(C13,Lookups!$E$2:$F$47,2,FALSE)</f>
        <v>0.64</v>
      </c>
      <c r="E13" s="30">
        <v>4.9409722222222223E-2</v>
      </c>
      <c r="F13" s="29">
        <f t="shared" si="0"/>
        <v>3.1622222222222225E-2</v>
      </c>
      <c r="G13">
        <f>IF(F13="","",_xlfn.RANK.EQ(F13,$F$7:$F$33,1)+COUNTIF($F$7:F13,F13)-1)</f>
        <v>2</v>
      </c>
      <c r="H13" s="19">
        <f t="shared" si="1"/>
        <v>1215.3041004923716</v>
      </c>
      <c r="I13" s="18">
        <f t="shared" si="4"/>
        <v>931.10945186226274</v>
      </c>
      <c r="J13" s="17">
        <f t="shared" si="2"/>
        <v>992.6012405952971</v>
      </c>
      <c r="K13" s="16">
        <f t="shared" si="3"/>
        <v>997</v>
      </c>
      <c r="R13">
        <f t="shared" ca="1" si="5"/>
        <v>163</v>
      </c>
    </row>
    <row r="14" spans="1:18" x14ac:dyDescent="0.25">
      <c r="A14">
        <v>8</v>
      </c>
      <c r="B14" t="s">
        <v>29</v>
      </c>
      <c r="C14" t="s">
        <v>39</v>
      </c>
      <c r="D14">
        <f>VLOOKUP(C14,Lookups!$E$2:$F$47,2,FALSE)</f>
        <v>0.9</v>
      </c>
      <c r="E14" s="30">
        <v>4.53587962962963E-2</v>
      </c>
      <c r="F14" s="29">
        <f t="shared" si="0"/>
        <v>4.0822916666666674E-2</v>
      </c>
      <c r="G14">
        <f>IF(F14="","",_xlfn.RANK.EQ(F14,$F$7:$F$33,1)+COUNTIF($F$7:F14,F14)-1)</f>
        <v>5</v>
      </c>
      <c r="H14" s="19">
        <f t="shared" si="1"/>
        <v>1008.433886554861</v>
      </c>
      <c r="I14" s="18">
        <f t="shared" si="4"/>
        <v>721.2554223016075</v>
      </c>
      <c r="J14" s="17">
        <f t="shared" si="2"/>
        <v>961.35286209580408</v>
      </c>
      <c r="K14" s="16">
        <f t="shared" si="3"/>
        <v>984</v>
      </c>
      <c r="R14">
        <f t="shared" ca="1" si="5"/>
        <v>64</v>
      </c>
    </row>
    <row r="15" spans="1:18" x14ac:dyDescent="0.25">
      <c r="A15">
        <v>9</v>
      </c>
      <c r="B15" t="s">
        <v>30</v>
      </c>
      <c r="C15" t="s">
        <v>21</v>
      </c>
      <c r="D15">
        <f>VLOOKUP(C15,Lookups!$E$2:$F$47,2,FALSE)</f>
        <v>0.84</v>
      </c>
      <c r="E15" s="30">
        <v>4.7500000000000007E-2</v>
      </c>
      <c r="F15" s="29">
        <f t="shared" si="0"/>
        <v>3.9900000000000005E-2</v>
      </c>
      <c r="G15">
        <f>IF(F15="","",_xlfn.RANK.EQ(F15,$F$7:$F$33,1)+COUNTIF($F$7:F15,F15)-1)</f>
        <v>4</v>
      </c>
      <c r="H15" s="19">
        <f t="shared" si="1"/>
        <v>1029.1849254500949</v>
      </c>
      <c r="I15" s="18">
        <f t="shared" si="4"/>
        <v>737.93859649122805</v>
      </c>
      <c r="J15" s="17">
        <f t="shared" si="2"/>
        <v>964.48736998514119</v>
      </c>
      <c r="K15" s="16">
        <f t="shared" si="3"/>
        <v>985</v>
      </c>
      <c r="R15">
        <f t="shared" ca="1" si="5"/>
        <v>99</v>
      </c>
    </row>
    <row r="16" spans="1:18" x14ac:dyDescent="0.25">
      <c r="A16">
        <v>10</v>
      </c>
      <c r="B16" t="s">
        <v>25</v>
      </c>
      <c r="C16" t="s">
        <v>26</v>
      </c>
      <c r="D16">
        <f>VLOOKUP(C16,Lookups!$E$2:$F$47,2,FALSE)</f>
        <v>0.67</v>
      </c>
      <c r="E16" s="30"/>
      <c r="F16" s="29" t="str">
        <f t="shared" si="0"/>
        <v/>
      </c>
      <c r="G16" t="str">
        <f>IF(F16="","",_xlfn.RANK.EQ(F16,$F$7:$F$33,1)+COUNTIF($F$7:F16,F16)-1)</f>
        <v/>
      </c>
      <c r="H16" s="19" t="str">
        <f t="shared" si="1"/>
        <v/>
      </c>
      <c r="I16" s="18" t="str">
        <f t="shared" si="4"/>
        <v/>
      </c>
      <c r="J16" s="17" t="str">
        <f t="shared" si="2"/>
        <v/>
      </c>
      <c r="K16" s="16" t="str">
        <f t="shared" si="3"/>
        <v>~</v>
      </c>
      <c r="R16">
        <f t="shared" ca="1" si="5"/>
        <v>169</v>
      </c>
    </row>
    <row r="17" spans="1:18" x14ac:dyDescent="0.25">
      <c r="A17">
        <v>11</v>
      </c>
      <c r="B17" t="s">
        <v>105</v>
      </c>
      <c r="C17" t="s">
        <v>39</v>
      </c>
      <c r="D17">
        <f>VLOOKUP(C17,Lookups!$E$2:$F$47,2,FALSE)</f>
        <v>0.9</v>
      </c>
      <c r="E17" s="30"/>
      <c r="F17" s="29" t="str">
        <f t="shared" si="0"/>
        <v/>
      </c>
      <c r="G17" t="str">
        <f>IF(F17="","",_xlfn.RANK.EQ(F17,$F$7:$F$33,1)+COUNTIF($F$7:F17,F17)-1)</f>
        <v/>
      </c>
      <c r="H17" s="19" t="str">
        <f t="shared" si="1"/>
        <v/>
      </c>
      <c r="I17" s="18" t="str">
        <f t="shared" si="4"/>
        <v/>
      </c>
      <c r="J17" s="17" t="str">
        <f t="shared" si="2"/>
        <v/>
      </c>
      <c r="K17" s="16" t="str">
        <f t="shared" si="3"/>
        <v>~</v>
      </c>
      <c r="R17">
        <f t="shared" ca="1" si="5"/>
        <v>90</v>
      </c>
    </row>
    <row r="18" spans="1:18" x14ac:dyDescent="0.25">
      <c r="A18">
        <v>12</v>
      </c>
      <c r="B18" t="s">
        <v>37</v>
      </c>
      <c r="C18" t="s">
        <v>27</v>
      </c>
      <c r="D18">
        <f>VLOOKUP(C18,Lookups!$E$2:$F$47,2,FALSE)</f>
        <v>0.86</v>
      </c>
      <c r="E18" s="30"/>
      <c r="F18" s="29" t="str">
        <f t="shared" si="0"/>
        <v/>
      </c>
      <c r="G18" t="str">
        <f>IF(F18="","",_xlfn.RANK.EQ(F18,$F$7:$F$33,1)+COUNTIF($F$7:F18,F18)-1)</f>
        <v/>
      </c>
      <c r="H18" s="19" t="str">
        <f t="shared" si="1"/>
        <v/>
      </c>
      <c r="I18" s="18" t="str">
        <f t="shared" si="4"/>
        <v/>
      </c>
      <c r="J18" s="17" t="str">
        <f t="shared" si="2"/>
        <v/>
      </c>
      <c r="K18" s="16" t="str">
        <f t="shared" si="3"/>
        <v>~</v>
      </c>
    </row>
    <row r="19" spans="1:18" x14ac:dyDescent="0.25">
      <c r="A19">
        <v>13</v>
      </c>
      <c r="B19" t="s">
        <v>33</v>
      </c>
      <c r="C19" t="s">
        <v>34</v>
      </c>
      <c r="D19">
        <f>VLOOKUP(C19,Lookups!$E$2:$F$47,2,FALSE)</f>
        <v>0.8</v>
      </c>
      <c r="E19" s="30"/>
      <c r="F19" s="29" t="str">
        <f t="shared" si="0"/>
        <v/>
      </c>
      <c r="G19" t="str">
        <f>IF(F19="","",_xlfn.RANK.EQ(F19,$F$7:$F$33,1)+COUNTIF($F$7:F19,F19)-1)</f>
        <v/>
      </c>
      <c r="H19" s="19" t="str">
        <f t="shared" si="1"/>
        <v/>
      </c>
      <c r="I19" s="18" t="str">
        <f t="shared" si="4"/>
        <v/>
      </c>
      <c r="J19" s="17" t="str">
        <f t="shared" si="2"/>
        <v/>
      </c>
      <c r="K19" s="16" t="str">
        <f t="shared" si="3"/>
        <v>~</v>
      </c>
    </row>
    <row r="20" spans="1:18" x14ac:dyDescent="0.25">
      <c r="A20">
        <v>14</v>
      </c>
      <c r="B20" t="s">
        <v>35</v>
      </c>
      <c r="C20" t="s">
        <v>59</v>
      </c>
      <c r="D20">
        <f>VLOOKUP(C20,Lookups!$E$2:$F$47,2,FALSE)</f>
        <v>0.77</v>
      </c>
      <c r="E20" s="30">
        <v>6.1203703703703705E-2</v>
      </c>
      <c r="F20" s="29">
        <f t="shared" si="0"/>
        <v>4.712685185185185E-2</v>
      </c>
      <c r="G20">
        <f>IF(F20="","",_xlfn.RANK.EQ(F20,$F$7:$F$33,1)+COUNTIF($F$7:F20,F20)-1)</f>
        <v>8</v>
      </c>
      <c r="H20" s="19">
        <f t="shared" si="1"/>
        <v>866.69497453231304</v>
      </c>
      <c r="I20" s="18">
        <f t="shared" si="4"/>
        <v>624.77650942098751</v>
      </c>
      <c r="J20" s="17">
        <f t="shared" si="2"/>
        <v>939.94276594573773</v>
      </c>
      <c r="K20" s="16">
        <f t="shared" si="3"/>
        <v>975</v>
      </c>
    </row>
    <row r="21" spans="1:18" x14ac:dyDescent="0.25">
      <c r="A21">
        <v>15</v>
      </c>
      <c r="B21" t="s">
        <v>102</v>
      </c>
      <c r="C21" t="s">
        <v>103</v>
      </c>
      <c r="D21">
        <f>VLOOKUP(C21,Lookups!$E$2:$F$47,2,FALSE)</f>
        <v>0.92</v>
      </c>
      <c r="E21" s="30">
        <v>6.5694444444444444E-2</v>
      </c>
      <c r="F21" s="29">
        <f t="shared" si="0"/>
        <v>6.0438888888888889E-2</v>
      </c>
      <c r="G21">
        <f>IF(F21="","",_xlfn.RANK.EQ(F21,$F$7:$F$33,1)+COUNTIF($F$7:F21,F21)-1)</f>
        <v>9</v>
      </c>
      <c r="H21" s="19">
        <f t="shared" si="1"/>
        <v>567.38452938882176</v>
      </c>
      <c r="I21" s="18">
        <f t="shared" si="4"/>
        <v>487.16564022428537</v>
      </c>
      <c r="J21" s="17">
        <f t="shared" si="2"/>
        <v>0</v>
      </c>
      <c r="K21" s="16">
        <f t="shared" si="3"/>
        <v>956</v>
      </c>
    </row>
    <row r="22" spans="1:18" x14ac:dyDescent="0.25">
      <c r="A22">
        <v>16</v>
      </c>
      <c r="B22" t="s">
        <v>38</v>
      </c>
      <c r="C22" t="s">
        <v>39</v>
      </c>
      <c r="D22">
        <f>VLOOKUP(C22,Lookups!$E$2:$F$47,2,FALSE)</f>
        <v>0.9</v>
      </c>
      <c r="E22" s="30"/>
      <c r="F22" s="29" t="str">
        <f t="shared" si="0"/>
        <v/>
      </c>
      <c r="G22" t="str">
        <f>IF(F22="","",_xlfn.RANK.EQ(F22,$F$7:$F$33,1)+COUNTIF($F$7:F22,F22)-1)</f>
        <v/>
      </c>
      <c r="H22" s="19" t="str">
        <f t="shared" si="1"/>
        <v/>
      </c>
      <c r="I22" s="18" t="str">
        <f t="shared" si="4"/>
        <v/>
      </c>
      <c r="J22" s="17" t="str">
        <f t="shared" si="2"/>
        <v/>
      </c>
      <c r="K22" s="16" t="str">
        <f t="shared" si="3"/>
        <v>~</v>
      </c>
    </row>
    <row r="23" spans="1:18" x14ac:dyDescent="0.25">
      <c r="A23">
        <v>17</v>
      </c>
      <c r="B23" t="s">
        <v>1</v>
      </c>
      <c r="C23" t="s">
        <v>36</v>
      </c>
      <c r="D23">
        <f>VLOOKUP(C23,Lookups!$E$2:$F$47,2,FALSE)</f>
        <v>0.56999999999999995</v>
      </c>
      <c r="E23" s="30">
        <v>7.2847222222222216E-2</v>
      </c>
      <c r="F23" s="29">
        <f t="shared" si="0"/>
        <v>4.1522916666666659E-2</v>
      </c>
      <c r="G23">
        <f>IF(F23="","",_xlfn.RANK.EQ(F23,$F$7:$F$33,1)+COUNTIF($F$7:F23,F23)-1)</f>
        <v>6</v>
      </c>
      <c r="H23" s="19">
        <f t="shared" si="1"/>
        <v>992.69494960497752</v>
      </c>
      <c r="I23" s="18">
        <f t="shared" si="4"/>
        <v>709.09638251969307</v>
      </c>
      <c r="J23" s="17">
        <f t="shared" si="2"/>
        <v>958.97544753414002</v>
      </c>
      <c r="K23" s="16">
        <f t="shared" si="3"/>
        <v>983</v>
      </c>
    </row>
    <row r="24" spans="1:18" x14ac:dyDescent="0.25">
      <c r="A24">
        <v>18</v>
      </c>
      <c r="B24" t="s">
        <v>40</v>
      </c>
      <c r="C24" t="s">
        <v>17</v>
      </c>
      <c r="D24">
        <f>VLOOKUP(C24,Lookups!$E$2:$F$47,2,FALSE)</f>
        <v>0.7</v>
      </c>
      <c r="E24" s="30"/>
      <c r="F24" s="29" t="str">
        <f t="shared" si="0"/>
        <v/>
      </c>
      <c r="G24" t="str">
        <f>IF(F24="","",_xlfn.RANK.EQ(F24,$F$7:$F$33,1)+COUNTIF($F$7:F24,F24)-1)</f>
        <v/>
      </c>
      <c r="H24" s="19" t="str">
        <f t="shared" si="1"/>
        <v/>
      </c>
      <c r="I24" s="18" t="str">
        <f t="shared" si="4"/>
        <v/>
      </c>
      <c r="J24" s="17" t="str">
        <f t="shared" si="2"/>
        <v/>
      </c>
      <c r="K24" s="16" t="str">
        <f t="shared" si="3"/>
        <v>~</v>
      </c>
    </row>
    <row r="25" spans="1:18" x14ac:dyDescent="0.25">
      <c r="A25">
        <v>19</v>
      </c>
      <c r="B25" t="s">
        <v>41</v>
      </c>
      <c r="C25" t="s">
        <v>17</v>
      </c>
      <c r="D25">
        <f>VLOOKUP(C25,Lookups!$E$2:$F$47,2,FALSE)</f>
        <v>0.7</v>
      </c>
      <c r="E25" s="30"/>
      <c r="F25" s="29" t="str">
        <f t="shared" si="0"/>
        <v/>
      </c>
      <c r="G25" t="str">
        <f>IF(F25="","",_xlfn.RANK.EQ(F25,$F$7:$F$33,1)+COUNTIF($F$7:F25,F25)-1)</f>
        <v/>
      </c>
      <c r="H25" s="19" t="str">
        <f t="shared" si="1"/>
        <v/>
      </c>
      <c r="I25" s="18" t="str">
        <f t="shared" si="4"/>
        <v/>
      </c>
      <c r="J25" s="17" t="str">
        <f t="shared" si="2"/>
        <v/>
      </c>
      <c r="K25" s="16" t="str">
        <f t="shared" si="3"/>
        <v>~</v>
      </c>
    </row>
    <row r="26" spans="1:18" x14ac:dyDescent="0.25">
      <c r="A26">
        <v>20</v>
      </c>
      <c r="B26" t="s">
        <v>44</v>
      </c>
      <c r="C26" t="s">
        <v>45</v>
      </c>
      <c r="D26">
        <f>VLOOKUP(C26,Lookups!$E$2:$F$47,2,FALSE)</f>
        <v>0.67</v>
      </c>
      <c r="E26" s="30"/>
      <c r="F26" s="29" t="str">
        <f t="shared" si="0"/>
        <v/>
      </c>
      <c r="G26" t="str">
        <f>IF(F26="","",_xlfn.RANK.EQ(F26,$F$7:$F$33,1)+COUNTIF($F$7:F26,F26)-1)</f>
        <v/>
      </c>
      <c r="H26" s="19" t="str">
        <f t="shared" si="1"/>
        <v/>
      </c>
      <c r="I26" s="18" t="str">
        <f t="shared" si="4"/>
        <v/>
      </c>
      <c r="J26" s="17" t="str">
        <f t="shared" si="2"/>
        <v/>
      </c>
      <c r="K26" s="16" t="str">
        <f t="shared" si="3"/>
        <v>~</v>
      </c>
    </row>
    <row r="27" spans="1:18" x14ac:dyDescent="0.25">
      <c r="A27">
        <v>20</v>
      </c>
      <c r="B27" t="s">
        <v>42</v>
      </c>
      <c r="C27" t="s">
        <v>43</v>
      </c>
      <c r="D27">
        <f>VLOOKUP(C27,Lookups!$E$2:$F$47,2,FALSE)</f>
        <v>0.64</v>
      </c>
      <c r="E27" s="30"/>
      <c r="F27" s="29" t="str">
        <f t="shared" si="0"/>
        <v/>
      </c>
      <c r="G27" t="str">
        <f>IF(F27="","",_xlfn.RANK.EQ(F27,$F$7:$F$33,1)+COUNTIF($F$7:F27,F27)-1)</f>
        <v/>
      </c>
      <c r="H27" s="19" t="str">
        <f t="shared" si="1"/>
        <v/>
      </c>
      <c r="I27" s="18" t="str">
        <f t="shared" si="4"/>
        <v/>
      </c>
      <c r="J27" s="17" t="str">
        <f t="shared" si="2"/>
        <v/>
      </c>
      <c r="K27" s="16" t="str">
        <f t="shared" si="3"/>
        <v>~</v>
      </c>
    </row>
    <row r="28" spans="1:18" x14ac:dyDescent="0.25">
      <c r="A28">
        <v>22</v>
      </c>
      <c r="B28" t="s">
        <v>106</v>
      </c>
      <c r="C28" t="s">
        <v>45</v>
      </c>
      <c r="D28">
        <f>VLOOKUP(C28,Lookups!$E$2:$F$47,2,FALSE)</f>
        <v>0.67</v>
      </c>
      <c r="E28" s="30"/>
      <c r="F28" s="29" t="str">
        <f t="shared" si="0"/>
        <v/>
      </c>
      <c r="G28" t="str">
        <f>IF(F28="","",_xlfn.RANK.EQ(F28,$F$7:$F$33,1)+COUNTIF($F$7:F28,F28)-1)</f>
        <v/>
      </c>
      <c r="H28" s="19" t="str">
        <f t="shared" si="1"/>
        <v/>
      </c>
      <c r="I28" s="18" t="str">
        <f t="shared" si="4"/>
        <v/>
      </c>
      <c r="J28" s="17" t="str">
        <f t="shared" si="2"/>
        <v/>
      </c>
      <c r="K28" s="16" t="str">
        <f t="shared" si="3"/>
        <v>~</v>
      </c>
    </row>
    <row r="29" spans="1:18" x14ac:dyDescent="0.25">
      <c r="A29">
        <v>23</v>
      </c>
      <c r="B29" t="s">
        <v>46</v>
      </c>
      <c r="C29" t="s">
        <v>47</v>
      </c>
      <c r="D29">
        <f>VLOOKUP(C29,Lookups!$E$2:$F$47,2,FALSE)</f>
        <v>0.8</v>
      </c>
      <c r="E29" s="30"/>
      <c r="F29" s="29" t="str">
        <f t="shared" si="0"/>
        <v/>
      </c>
      <c r="G29" t="str">
        <f>IF(F29="","",_xlfn.RANK.EQ(F29,$F$7:$F$33,1)+COUNTIF($F$7:F29,F29)-1)</f>
        <v/>
      </c>
      <c r="H29" s="19" t="str">
        <f t="shared" si="1"/>
        <v/>
      </c>
      <c r="I29" s="18" t="str">
        <f t="shared" si="4"/>
        <v/>
      </c>
      <c r="J29" s="17" t="str">
        <f t="shared" si="2"/>
        <v/>
      </c>
      <c r="K29" s="16" t="str">
        <f t="shared" si="3"/>
        <v>~</v>
      </c>
    </row>
    <row r="30" spans="1:18" x14ac:dyDescent="0.25">
      <c r="A30">
        <v>24</v>
      </c>
      <c r="B30" t="s">
        <v>48</v>
      </c>
      <c r="C30" t="s">
        <v>49</v>
      </c>
      <c r="D30">
        <f>VLOOKUP(C30,Lookups!$E$2:$F$47,2,FALSE)</f>
        <v>0.7</v>
      </c>
      <c r="E30" s="30"/>
      <c r="F30" s="29" t="str">
        <f t="shared" si="0"/>
        <v/>
      </c>
      <c r="G30" t="str">
        <f>IF(F30="","",_xlfn.RANK.EQ(F30,$F$7:$F$33,1)+COUNTIF($F$7:F30,F30)-1)</f>
        <v/>
      </c>
      <c r="H30" s="19" t="str">
        <f t="shared" si="1"/>
        <v/>
      </c>
      <c r="I30" s="18" t="str">
        <f t="shared" si="4"/>
        <v/>
      </c>
      <c r="J30" s="17" t="str">
        <f t="shared" si="2"/>
        <v/>
      </c>
      <c r="K30" s="16" t="str">
        <f t="shared" si="3"/>
        <v>~</v>
      </c>
    </row>
    <row r="31" spans="1:18" x14ac:dyDescent="0.25">
      <c r="A31">
        <v>25</v>
      </c>
      <c r="B31" t="s">
        <v>32</v>
      </c>
      <c r="C31" t="s">
        <v>27</v>
      </c>
      <c r="D31">
        <f>VLOOKUP(C31,Lookups!$E$2:$F$47,2,FALSE)</f>
        <v>0.86</v>
      </c>
      <c r="E31" s="30"/>
      <c r="F31" s="29" t="str">
        <f t="shared" si="0"/>
        <v/>
      </c>
      <c r="G31" t="str">
        <f>IF(F31="","",_xlfn.RANK.EQ(F31,$F$7:$F$33,1)+COUNTIF($F$7:F31,F31)-1)</f>
        <v/>
      </c>
      <c r="H31" s="19" t="str">
        <f t="shared" si="1"/>
        <v/>
      </c>
      <c r="I31" s="18" t="str">
        <f t="shared" si="4"/>
        <v/>
      </c>
      <c r="J31" s="17" t="str">
        <f t="shared" si="2"/>
        <v/>
      </c>
      <c r="K31" s="16" t="str">
        <f t="shared" si="3"/>
        <v>~</v>
      </c>
    </row>
    <row r="32" spans="1:18" x14ac:dyDescent="0.25">
      <c r="A32">
        <v>26</v>
      </c>
      <c r="B32" t="s">
        <v>57</v>
      </c>
      <c r="C32" t="s">
        <v>49</v>
      </c>
      <c r="D32">
        <f>VLOOKUP(C32,Lookups!$E$2:$F$47,2,FALSE)</f>
        <v>0.7</v>
      </c>
      <c r="E32" s="30"/>
      <c r="F32" s="29" t="str">
        <f t="shared" si="0"/>
        <v/>
      </c>
      <c r="G32" t="str">
        <f>IF(F32="","",_xlfn.RANK.EQ(F32,$F$7:$F$33,1)+COUNTIF($F$7:F32,F32)-1)</f>
        <v/>
      </c>
      <c r="H32" s="19" t="str">
        <f t="shared" si="1"/>
        <v/>
      </c>
      <c r="I32" s="18" t="str">
        <f t="shared" si="4"/>
        <v/>
      </c>
      <c r="J32" s="17" t="str">
        <f t="shared" si="2"/>
        <v/>
      </c>
      <c r="K32" s="16" t="str">
        <f t="shared" si="3"/>
        <v>~</v>
      </c>
    </row>
    <row r="33" spans="1:11" x14ac:dyDescent="0.25">
      <c r="A33">
        <v>27</v>
      </c>
      <c r="B33" t="s">
        <v>55</v>
      </c>
      <c r="C33" t="s">
        <v>45</v>
      </c>
      <c r="D33">
        <f>VLOOKUP(C33,Lookups!$E$2:$F$47,2,FALSE)</f>
        <v>0.67</v>
      </c>
      <c r="E33" s="30"/>
      <c r="F33" s="29" t="str">
        <f t="shared" si="0"/>
        <v/>
      </c>
      <c r="G33" t="str">
        <f>IF(F33="","",_xlfn.RANK.EQ(F33,$F$7:$F$33,1)+COUNTIF($F$7:F33,F33)-1)</f>
        <v/>
      </c>
      <c r="H33" s="19" t="str">
        <f t="shared" si="1"/>
        <v/>
      </c>
      <c r="I33" s="18" t="str">
        <f t="shared" si="4"/>
        <v/>
      </c>
      <c r="J33" s="17" t="str">
        <f t="shared" si="2"/>
        <v/>
      </c>
      <c r="K33" s="16" t="str">
        <f t="shared" si="3"/>
        <v>~</v>
      </c>
    </row>
    <row r="34" spans="1:11" x14ac:dyDescent="0.25">
      <c r="E34" s="26"/>
    </row>
    <row r="35" spans="1:11" x14ac:dyDescent="0.25">
      <c r="A35" t="s">
        <v>53</v>
      </c>
      <c r="E35" s="26"/>
    </row>
    <row r="36" spans="1:11" ht="30" x14ac:dyDescent="0.25">
      <c r="A36" t="s">
        <v>8</v>
      </c>
      <c r="B36" t="s">
        <v>9</v>
      </c>
      <c r="C36" t="s">
        <v>10</v>
      </c>
      <c r="D36" t="s">
        <v>54</v>
      </c>
      <c r="E36" s="27" t="s">
        <v>95</v>
      </c>
      <c r="F36" s="24" t="s">
        <v>94</v>
      </c>
      <c r="G36" s="24" t="s">
        <v>8</v>
      </c>
      <c r="H36" s="23" t="s">
        <v>93</v>
      </c>
      <c r="I36" s="22" t="s">
        <v>92</v>
      </c>
      <c r="J36" s="21" t="s">
        <v>91</v>
      </c>
      <c r="K36" s="20" t="s">
        <v>90</v>
      </c>
    </row>
    <row r="37" spans="1:11" x14ac:dyDescent="0.25">
      <c r="A37">
        <v>1</v>
      </c>
      <c r="B37" t="s">
        <v>55</v>
      </c>
      <c r="C37" t="s">
        <v>109</v>
      </c>
      <c r="D37">
        <f>VLOOKUP(C37,Lookups!$E$2:$F$47,2,FALSE)</f>
        <v>0.7</v>
      </c>
      <c r="E37" s="30"/>
      <c r="F37" s="29" t="str">
        <f>IF(E37="","",E37*D37)</f>
        <v/>
      </c>
      <c r="G37" t="str">
        <f>IF(F37="","",_xlfn.RANK.EQ(F37,$F$37:$F$60,1)+COUNTIF($F$37:F60,F37)-1)</f>
        <v/>
      </c>
      <c r="H37" s="19" t="str">
        <f t="shared" ref="H37:H60" si="6">IFERROR((1000+200*(AVERAGE($F$37:$F$60)-F37)/_xlfn.STDEV.P($F$37:$F$60)),"")</f>
        <v/>
      </c>
      <c r="I37" s="18" t="str">
        <f t="shared" ref="I37:I60" si="7">IFERROR(((1000*SMALL($F$37:$F$60,1)/F37)),"")</f>
        <v/>
      </c>
      <c r="J37" s="17" t="str">
        <f t="shared" ref="J37:J60" si="8">IF(E37="","",IF(F37&gt;=2*SMALL($F$37:$F$60,1),0,1000-((F37-SMALL($F$7:$F$60,1))/SMALL($F$37:$F$60,1)*100)))</f>
        <v/>
      </c>
      <c r="K37" s="16" t="str">
        <f>IFERROR((1000-MINUTE(F37-SMALL($F$37:$F$60,1))),"~")</f>
        <v>~</v>
      </c>
    </row>
    <row r="38" spans="1:11" x14ac:dyDescent="0.25">
      <c r="A38">
        <v>2</v>
      </c>
      <c r="B38" t="s">
        <v>57</v>
      </c>
      <c r="C38" t="s">
        <v>49</v>
      </c>
      <c r="D38">
        <f>VLOOKUP(C38,Lookups!$E$2:$F$47,2,FALSE)</f>
        <v>0.7</v>
      </c>
      <c r="E38" s="30">
        <v>3.5358796296296298E-2</v>
      </c>
      <c r="F38" s="29">
        <f>IF(E38="","",E38*D38)</f>
        <v>2.4751157407407406E-2</v>
      </c>
      <c r="G38">
        <f>IF(F38="","",_xlfn.RANK.EQ(F38,$F$37:$F$60,1)+COUNTIF($F$37:F61,F38)-1)</f>
        <v>3</v>
      </c>
      <c r="H38" s="19">
        <f t="shared" si="6"/>
        <v>1070.0351357577697</v>
      </c>
      <c r="I38" s="18">
        <f t="shared" si="7"/>
        <v>757.56838905775078</v>
      </c>
      <c r="J38" s="17">
        <f t="shared" si="8"/>
        <v>967.99871609693469</v>
      </c>
      <c r="K38" s="16">
        <f t="shared" ref="K38:K60" si="9">IFERROR((1000-MINUTE(F38-SMALL($F$37:$F$60,1))),"~")</f>
        <v>992</v>
      </c>
    </row>
    <row r="39" spans="1:11" x14ac:dyDescent="0.25">
      <c r="A39">
        <v>3</v>
      </c>
      <c r="B39" t="s">
        <v>111</v>
      </c>
      <c r="C39" t="s">
        <v>39</v>
      </c>
      <c r="D39">
        <f>VLOOKUP(C39,Lookups!$E$2:$F$47,2,FALSE)</f>
        <v>0.9</v>
      </c>
      <c r="E39" s="30"/>
      <c r="F39" s="29" t="str">
        <f t="shared" ref="F39:F60" si="10">IF(E39="","",E39*D39)</f>
        <v/>
      </c>
      <c r="G39" t="str">
        <f>IF(F39="","",_xlfn.RANK.EQ(F39,$F$37:$F$60,1)+COUNTIF($F$37:F62,F39)-1)</f>
        <v/>
      </c>
      <c r="H39" s="19" t="str">
        <f t="shared" si="6"/>
        <v/>
      </c>
      <c r="I39" s="18" t="str">
        <f t="shared" si="7"/>
        <v/>
      </c>
      <c r="J39" s="17" t="str">
        <f t="shared" si="8"/>
        <v/>
      </c>
      <c r="K39" s="16" t="str">
        <f t="shared" si="9"/>
        <v>~</v>
      </c>
    </row>
    <row r="40" spans="1:11" x14ac:dyDescent="0.25">
      <c r="A40">
        <v>4</v>
      </c>
      <c r="B40" t="s">
        <v>65</v>
      </c>
      <c r="C40" t="s">
        <v>63</v>
      </c>
      <c r="D40">
        <f>VLOOKUP(C40,Lookups!$E$2:$F$47,2,FALSE)</f>
        <v>0.62</v>
      </c>
      <c r="E40" s="30">
        <v>3.9131944444444448E-2</v>
      </c>
      <c r="F40" s="29">
        <f t="shared" si="10"/>
        <v>2.4261805555555557E-2</v>
      </c>
      <c r="G40">
        <f>IF(F40="","",_xlfn.RANK.EQ(F40,$F$37:$F$60,1)+COUNTIF($F$37:F63,F40)-1)</f>
        <v>2</v>
      </c>
      <c r="H40" s="19">
        <f t="shared" si="6"/>
        <v>1099.734718660075</v>
      </c>
      <c r="I40" s="18">
        <f t="shared" si="7"/>
        <v>772.84826974267969</v>
      </c>
      <c r="J40" s="17">
        <f t="shared" si="8"/>
        <v>970.60849598163031</v>
      </c>
      <c r="K40" s="16">
        <f t="shared" si="9"/>
        <v>993</v>
      </c>
    </row>
    <row r="41" spans="1:11" x14ac:dyDescent="0.25">
      <c r="A41">
        <v>5</v>
      </c>
      <c r="B41" t="s">
        <v>116</v>
      </c>
      <c r="C41" t="s">
        <v>117</v>
      </c>
      <c r="D41">
        <f>VLOOKUP(C41,Lookups!$E$2:$F$47,2,FALSE)</f>
        <v>0.89</v>
      </c>
      <c r="E41" s="30"/>
      <c r="F41" s="29" t="str">
        <f t="shared" si="10"/>
        <v/>
      </c>
      <c r="G41" t="str">
        <f>IF(F41="","",_xlfn.RANK.EQ(F41,$F$37:$F$60,1)+COUNTIF($F$37:F64,F41)-1)</f>
        <v/>
      </c>
      <c r="H41" s="19" t="str">
        <f t="shared" si="6"/>
        <v/>
      </c>
      <c r="I41" s="18" t="str">
        <f t="shared" si="7"/>
        <v/>
      </c>
      <c r="J41" s="17" t="str">
        <f t="shared" si="8"/>
        <v/>
      </c>
      <c r="K41" s="16" t="str">
        <f t="shared" si="9"/>
        <v>~</v>
      </c>
    </row>
    <row r="42" spans="1:11" x14ac:dyDescent="0.25">
      <c r="A42">
        <v>6</v>
      </c>
      <c r="B42" t="s">
        <v>44</v>
      </c>
      <c r="C42" t="s">
        <v>45</v>
      </c>
      <c r="D42">
        <f>VLOOKUP(C42,Lookups!$E$2:$F$47,2,FALSE)</f>
        <v>0.67</v>
      </c>
      <c r="E42" s="30"/>
      <c r="F42" s="29" t="str">
        <f t="shared" si="10"/>
        <v/>
      </c>
      <c r="G42" t="str">
        <f>IF(F42="","",_xlfn.RANK.EQ(F42,$F$37:$F$60,1)+COUNTIF($F$37:F65,F42)-1)</f>
        <v/>
      </c>
      <c r="H42" s="19" t="str">
        <f t="shared" si="6"/>
        <v/>
      </c>
      <c r="I42" s="18" t="str">
        <f t="shared" si="7"/>
        <v/>
      </c>
      <c r="J42" s="17" t="str">
        <f t="shared" si="8"/>
        <v/>
      </c>
      <c r="K42" s="16" t="str">
        <f t="shared" si="9"/>
        <v>~</v>
      </c>
    </row>
    <row r="43" spans="1:11" x14ac:dyDescent="0.25">
      <c r="A43">
        <v>7</v>
      </c>
      <c r="B43" t="s">
        <v>115</v>
      </c>
      <c r="C43" t="s">
        <v>47</v>
      </c>
      <c r="D43">
        <f>VLOOKUP(C43,Lookups!$E$2:$F$47,2,FALSE)</f>
        <v>0.8</v>
      </c>
      <c r="E43" s="30"/>
      <c r="F43" s="29" t="str">
        <f t="shared" si="10"/>
        <v/>
      </c>
      <c r="G43" t="str">
        <f>IF(F43="","",_xlfn.RANK.EQ(F43,$F$37:$F$60,1)+COUNTIF($F$37:F66,F43)-1)</f>
        <v/>
      </c>
      <c r="H43" s="19" t="str">
        <f t="shared" si="6"/>
        <v/>
      </c>
      <c r="I43" s="18" t="str">
        <f t="shared" si="7"/>
        <v/>
      </c>
      <c r="J43" s="17" t="str">
        <f t="shared" si="8"/>
        <v/>
      </c>
      <c r="K43" s="16" t="str">
        <f t="shared" si="9"/>
        <v>~</v>
      </c>
    </row>
    <row r="44" spans="1:11" x14ac:dyDescent="0.25">
      <c r="A44">
        <v>8</v>
      </c>
      <c r="B44" t="s">
        <v>58</v>
      </c>
      <c r="C44" t="s">
        <v>59</v>
      </c>
      <c r="D44">
        <f>VLOOKUP(C44,Lookups!$E$2:$F$47,2,FALSE)</f>
        <v>0.77</v>
      </c>
      <c r="E44" s="30"/>
      <c r="F44" s="29" t="str">
        <f t="shared" si="10"/>
        <v/>
      </c>
      <c r="G44" t="str">
        <f>IF(F44="","",_xlfn.RANK.EQ(F44,$F$37:$F$60,1)+COUNTIF($F$37:F71,F44)-1)</f>
        <v/>
      </c>
      <c r="H44" s="19" t="str">
        <f t="shared" si="6"/>
        <v/>
      </c>
      <c r="I44" s="18" t="str">
        <f t="shared" si="7"/>
        <v/>
      </c>
      <c r="J44" s="17" t="str">
        <f t="shared" si="8"/>
        <v/>
      </c>
      <c r="K44" s="16" t="str">
        <f t="shared" si="9"/>
        <v>~</v>
      </c>
    </row>
    <row r="45" spans="1:11" x14ac:dyDescent="0.25">
      <c r="A45">
        <v>9</v>
      </c>
      <c r="B45" t="s">
        <v>25</v>
      </c>
      <c r="C45" t="s">
        <v>26</v>
      </c>
      <c r="D45">
        <f>VLOOKUP(C45,Lookups!$E$2:$F$47,2,FALSE)</f>
        <v>0.67</v>
      </c>
      <c r="E45" s="30">
        <v>2.7986111111111111E-2</v>
      </c>
      <c r="F45" s="29">
        <f t="shared" si="10"/>
        <v>1.8750694444444445E-2</v>
      </c>
      <c r="G45">
        <f>IF(F45="","",_xlfn.RANK.EQ(F45,$F$37:$F$60,1)+COUNTIF($F$37:F72,F45)-1)</f>
        <v>1</v>
      </c>
      <c r="H45" s="19">
        <f t="shared" si="6"/>
        <v>1434.2132757736467</v>
      </c>
      <c r="I45" s="18">
        <f t="shared" si="7"/>
        <v>1000</v>
      </c>
      <c r="J45" s="17">
        <f t="shared" si="8"/>
        <v>1000</v>
      </c>
      <c r="K45" s="16">
        <f t="shared" si="9"/>
        <v>1000</v>
      </c>
    </row>
    <row r="46" spans="1:11" x14ac:dyDescent="0.25">
      <c r="B46" t="s">
        <v>104</v>
      </c>
      <c r="C46" t="s">
        <v>47</v>
      </c>
      <c r="E46" s="30"/>
      <c r="F46" s="29" t="str">
        <f t="shared" ref="F46:F51" si="11">IF(E46="","",E46*D46)</f>
        <v/>
      </c>
      <c r="G46" t="str">
        <f>IF(F46="","",_xlfn.RANK.EQ(F46,$F$37:$F$60,1)+COUNTIF($F$37:F73,F46)-1)</f>
        <v/>
      </c>
      <c r="H46" s="19" t="str">
        <f t="shared" ref="H46:H51" si="12">IFERROR((1000+200*(AVERAGE($F$37:$F$60)-F46)/_xlfn.STDEV.P($F$37:$F$60)),"")</f>
        <v/>
      </c>
      <c r="I46" s="18" t="str">
        <f t="shared" ref="I46:I51" si="13">IFERROR(((1000*SMALL($F$37:$F$60,1)/F46)),"")</f>
        <v/>
      </c>
      <c r="J46" s="17" t="str">
        <f t="shared" ref="J46:J51" si="14">IF(E46="","",IF(F46&gt;=2*SMALL($F$37:$F$60,1),0,1000-((F46-SMALL($F$7:$F$60,1))/SMALL($F$37:$F$60,1)*100)))</f>
        <v/>
      </c>
      <c r="K46" s="16" t="str">
        <f t="shared" ref="K46:K51" si="15">IFERROR((1000-MINUTE(F46-SMALL($F$37:$F$60,1))),"~")</f>
        <v>~</v>
      </c>
    </row>
    <row r="47" spans="1:11" x14ac:dyDescent="0.25">
      <c r="B47" t="s">
        <v>157</v>
      </c>
      <c r="C47" t="s">
        <v>156</v>
      </c>
      <c r="E47" s="30"/>
      <c r="F47" s="29" t="str">
        <f t="shared" si="11"/>
        <v/>
      </c>
      <c r="G47" t="str">
        <f>IF(F47="","",_xlfn.RANK.EQ(F47,$F$37:$F$60,1)+COUNTIF($F$37:F74,F47)-1)</f>
        <v/>
      </c>
      <c r="H47" s="19" t="str">
        <f t="shared" si="12"/>
        <v/>
      </c>
      <c r="I47" s="18" t="str">
        <f t="shared" si="13"/>
        <v/>
      </c>
      <c r="J47" s="17" t="str">
        <f t="shared" si="14"/>
        <v/>
      </c>
      <c r="K47" s="16" t="str">
        <f t="shared" si="15"/>
        <v>~</v>
      </c>
    </row>
    <row r="48" spans="1:11" x14ac:dyDescent="0.25">
      <c r="B48" t="s">
        <v>112</v>
      </c>
      <c r="C48" t="s">
        <v>17</v>
      </c>
      <c r="D48">
        <f>VLOOKUP(C48,Lookups!$E$2:$F$47,2,FALSE)</f>
        <v>0.7</v>
      </c>
      <c r="E48" s="30"/>
      <c r="F48" s="29" t="str">
        <f t="shared" si="11"/>
        <v/>
      </c>
      <c r="G48" t="str">
        <f>IF(F48="","",_xlfn.RANK.EQ(F48,$F$37:$F$60,1)+COUNTIF($F$37:F75,F48)-1)</f>
        <v/>
      </c>
      <c r="H48" s="19" t="str">
        <f t="shared" si="12"/>
        <v/>
      </c>
      <c r="I48" s="18" t="str">
        <f t="shared" si="13"/>
        <v/>
      </c>
      <c r="J48" s="17" t="str">
        <f t="shared" si="14"/>
        <v/>
      </c>
      <c r="K48" s="16" t="str">
        <f t="shared" si="15"/>
        <v>~</v>
      </c>
    </row>
    <row r="49" spans="1:11" x14ac:dyDescent="0.25">
      <c r="B49" t="s">
        <v>76</v>
      </c>
      <c r="C49" t="s">
        <v>19</v>
      </c>
      <c r="D49">
        <f>VLOOKUP(C49,Lookups!$E$2:$F$47,2,FALSE)</f>
        <v>0.63</v>
      </c>
      <c r="E49" s="30"/>
      <c r="F49" s="29" t="str">
        <f t="shared" si="11"/>
        <v/>
      </c>
      <c r="G49" t="str">
        <f>IF(F49="","",_xlfn.RANK.EQ(F49,$F$37:$F$60,1)+COUNTIF($F$37:F76,F49)-1)</f>
        <v/>
      </c>
      <c r="H49" s="19" t="str">
        <f t="shared" si="12"/>
        <v/>
      </c>
      <c r="I49" s="18" t="str">
        <f t="shared" si="13"/>
        <v/>
      </c>
      <c r="J49" s="17" t="str">
        <f t="shared" si="14"/>
        <v/>
      </c>
      <c r="K49" s="16" t="str">
        <f t="shared" si="15"/>
        <v>~</v>
      </c>
    </row>
    <row r="50" spans="1:11" x14ac:dyDescent="0.25">
      <c r="A50">
        <v>10</v>
      </c>
      <c r="B50" t="s">
        <v>102</v>
      </c>
      <c r="C50" t="s">
        <v>103</v>
      </c>
      <c r="D50">
        <f>VLOOKUP(C50,Lookups!$E$2:$F$47,2,FALSE)</f>
        <v>0.92</v>
      </c>
      <c r="E50" s="30"/>
      <c r="F50" s="29" t="str">
        <f t="shared" si="11"/>
        <v/>
      </c>
      <c r="G50" t="str">
        <f>IF(F50="","",_xlfn.RANK.EQ(F50,$F$37:$F$60,1)+COUNTIF($F$37:F77,F50)-1)</f>
        <v/>
      </c>
      <c r="H50" s="19" t="str">
        <f t="shared" si="12"/>
        <v/>
      </c>
      <c r="I50" s="18" t="str">
        <f t="shared" si="13"/>
        <v/>
      </c>
      <c r="J50" s="17" t="str">
        <f t="shared" si="14"/>
        <v/>
      </c>
      <c r="K50" s="16" t="str">
        <f t="shared" si="15"/>
        <v>~</v>
      </c>
    </row>
    <row r="51" spans="1:11" x14ac:dyDescent="0.25">
      <c r="A51">
        <v>11</v>
      </c>
      <c r="B51" t="s">
        <v>106</v>
      </c>
      <c r="C51" t="s">
        <v>107</v>
      </c>
      <c r="D51">
        <f>VLOOKUP(C51,Lookups!$E$2:$F$47,2,FALSE)</f>
        <v>0.92</v>
      </c>
      <c r="E51" s="30">
        <v>2.8495370370370369E-2</v>
      </c>
      <c r="F51" s="29">
        <f t="shared" si="11"/>
        <v>2.6215740740740741E-2</v>
      </c>
      <c r="G51">
        <f>IF(F51="","",_xlfn.RANK.EQ(F51,$F$37:$F$60,1)+COUNTIF($F$37:F78,F51)-1)</f>
        <v>5</v>
      </c>
      <c r="H51" s="19">
        <f t="shared" si="12"/>
        <v>981.14712202887301</v>
      </c>
      <c r="I51" s="18">
        <f t="shared" si="13"/>
        <v>715.24564687599343</v>
      </c>
      <c r="J51" s="17">
        <f t="shared" si="14"/>
        <v>960.18789427552065</v>
      </c>
      <c r="K51" s="16">
        <f t="shared" si="15"/>
        <v>990</v>
      </c>
    </row>
    <row r="52" spans="1:11" x14ac:dyDescent="0.25">
      <c r="A52">
        <v>12</v>
      </c>
      <c r="B52" t="s">
        <v>42</v>
      </c>
      <c r="C52" t="s">
        <v>43</v>
      </c>
      <c r="D52">
        <f>VLOOKUP(C52,Lookups!$E$2:$F$47,2,FALSE)</f>
        <v>0.64</v>
      </c>
      <c r="E52" s="30"/>
      <c r="F52" s="29" t="str">
        <f t="shared" si="10"/>
        <v/>
      </c>
      <c r="G52" t="str">
        <f>IF(F52="","",_xlfn.RANK.EQ(F52,$F$37:$F$60,1)+COUNTIF($F$37:F75,F52)-1)</f>
        <v/>
      </c>
      <c r="H52" s="19" t="str">
        <f t="shared" si="6"/>
        <v/>
      </c>
      <c r="I52" s="18" t="str">
        <f t="shared" si="7"/>
        <v/>
      </c>
      <c r="J52" s="17" t="str">
        <f t="shared" si="8"/>
        <v/>
      </c>
      <c r="K52" s="16" t="str">
        <f t="shared" si="9"/>
        <v>~</v>
      </c>
    </row>
    <row r="53" spans="1:11" x14ac:dyDescent="0.25">
      <c r="A53">
        <v>13</v>
      </c>
      <c r="B53" t="s">
        <v>60</v>
      </c>
      <c r="C53" t="s">
        <v>34</v>
      </c>
      <c r="D53">
        <f>VLOOKUP(C53,Lookups!$E$2:$F$47,2,FALSE)</f>
        <v>0.8</v>
      </c>
      <c r="E53" s="30">
        <v>3.6759259259259255E-2</v>
      </c>
      <c r="F53" s="29">
        <f t="shared" si="10"/>
        <v>2.9407407407407406E-2</v>
      </c>
      <c r="G53">
        <f>IF(F53="","",_xlfn.RANK.EQ(F53,$F$37:$F$60,1)+COUNTIF($F$37:F76,F53)-1)</f>
        <v>8</v>
      </c>
      <c r="H53" s="19">
        <f t="shared" si="6"/>
        <v>787.43953023275719</v>
      </c>
      <c r="I53" s="18">
        <f t="shared" si="7"/>
        <v>637.61807304785896</v>
      </c>
      <c r="J53" s="17">
        <f t="shared" si="8"/>
        <v>943.16630248262413</v>
      </c>
      <c r="K53" s="16">
        <f t="shared" si="9"/>
        <v>985</v>
      </c>
    </row>
    <row r="54" spans="1:11" x14ac:dyDescent="0.25">
      <c r="A54">
        <v>14</v>
      </c>
      <c r="B54" t="s">
        <v>124</v>
      </c>
      <c r="C54" t="s">
        <v>34</v>
      </c>
      <c r="D54">
        <f>VLOOKUP(C54,Lookups!$E$2:$F$47,2,FALSE)</f>
        <v>0.8</v>
      </c>
      <c r="E54" s="30"/>
      <c r="F54" s="29" t="str">
        <f t="shared" si="10"/>
        <v/>
      </c>
      <c r="G54" t="str">
        <f>IF(F54="","",_xlfn.RANK.EQ(F54,$F$37:$F$60,1)+COUNTIF($F$37:F77,F54)-1)</f>
        <v/>
      </c>
      <c r="H54" s="19" t="str">
        <f t="shared" si="6"/>
        <v/>
      </c>
      <c r="I54" s="18" t="str">
        <f t="shared" si="7"/>
        <v/>
      </c>
      <c r="J54" s="17" t="str">
        <f t="shared" si="8"/>
        <v/>
      </c>
      <c r="K54" s="16" t="str">
        <f t="shared" si="9"/>
        <v>~</v>
      </c>
    </row>
    <row r="55" spans="1:11" x14ac:dyDescent="0.25">
      <c r="A55">
        <v>15</v>
      </c>
      <c r="B55" t="s">
        <v>61</v>
      </c>
      <c r="C55" t="s">
        <v>39</v>
      </c>
      <c r="D55">
        <f>VLOOKUP(C55,Lookups!$E$2:$F$47,2,FALSE)</f>
        <v>0.9</v>
      </c>
      <c r="E55" s="30">
        <v>3.2476851851851847E-2</v>
      </c>
      <c r="F55" s="29">
        <f t="shared" si="10"/>
        <v>2.9229166666666664E-2</v>
      </c>
      <c r="G55">
        <f>IF(F55="","",_xlfn.RANK.EQ(F55,$F$37:$F$60,1)+COUNTIF($F$37:F78,F55)-1)</f>
        <v>7</v>
      </c>
      <c r="H55" s="19">
        <f t="shared" si="6"/>
        <v>798.25725910445794</v>
      </c>
      <c r="I55" s="18">
        <f t="shared" si="7"/>
        <v>641.50629603231175</v>
      </c>
      <c r="J55" s="17">
        <f t="shared" si="8"/>
        <v>944.11688455983108</v>
      </c>
      <c r="K55" s="16">
        <f t="shared" si="9"/>
        <v>985</v>
      </c>
    </row>
    <row r="56" spans="1:11" x14ac:dyDescent="0.25">
      <c r="A56">
        <v>16</v>
      </c>
      <c r="B56" t="s">
        <v>114</v>
      </c>
      <c r="C56" t="s">
        <v>31</v>
      </c>
      <c r="D56">
        <f>VLOOKUP(C56,Lookups!$E$2:$F$47,2,FALSE)</f>
        <v>0.82</v>
      </c>
      <c r="E56" s="30">
        <v>3.5092592592592592E-2</v>
      </c>
      <c r="F56" s="29">
        <f t="shared" si="10"/>
        <v>2.8775925925925924E-2</v>
      </c>
      <c r="G56">
        <f>IF(F56="","",_xlfn.RANK.EQ(F56,$F$37:$F$60,1)+COUNTIF($F$37:F79,F56)-1)</f>
        <v>6</v>
      </c>
      <c r="H56" s="19">
        <f t="shared" si="6"/>
        <v>825.76519823535398</v>
      </c>
      <c r="I56" s="18">
        <f t="shared" si="7"/>
        <v>651.61046399382212</v>
      </c>
      <c r="J56" s="17">
        <f t="shared" si="8"/>
        <v>946.53407898472892</v>
      </c>
      <c r="K56" s="16">
        <f t="shared" si="9"/>
        <v>986</v>
      </c>
    </row>
    <row r="57" spans="1:11" x14ac:dyDescent="0.25">
      <c r="A57">
        <v>17</v>
      </c>
      <c r="B57" t="s">
        <v>6</v>
      </c>
      <c r="C57" t="s">
        <v>19</v>
      </c>
      <c r="D57">
        <f>VLOOKUP(C57,Lookups!$E$2:$F$47,2,FALSE)</f>
        <v>0.63</v>
      </c>
      <c r="E57" s="30">
        <v>4.1030092592592597E-2</v>
      </c>
      <c r="F57" s="29">
        <f t="shared" si="10"/>
        <v>2.5848958333333335E-2</v>
      </c>
      <c r="G57">
        <f>IF(F57="","",_xlfn.RANK.EQ(F57,$F$37:$F$60,1)+COUNTIF($F$37:F80,F57)-1)</f>
        <v>4</v>
      </c>
      <c r="H57" s="19">
        <f t="shared" si="6"/>
        <v>1003.4077602070674</v>
      </c>
      <c r="I57" s="18">
        <f t="shared" si="7"/>
        <v>725.39458660756259</v>
      </c>
      <c r="J57" s="17">
        <f t="shared" si="8"/>
        <v>962.14399466686416</v>
      </c>
      <c r="K57" s="16">
        <f t="shared" si="9"/>
        <v>990</v>
      </c>
    </row>
    <row r="58" spans="1:11" x14ac:dyDescent="0.25">
      <c r="A58">
        <v>18</v>
      </c>
      <c r="B58" t="s">
        <v>118</v>
      </c>
      <c r="C58" t="s">
        <v>47</v>
      </c>
      <c r="D58">
        <f>VLOOKUP(C58,Lookups!$E$2:$F$47,2,FALSE)</f>
        <v>0.8</v>
      </c>
      <c r="E58" s="30"/>
      <c r="F58" s="29" t="str">
        <f t="shared" si="10"/>
        <v/>
      </c>
      <c r="G58" t="str">
        <f>IF(F58="","",_xlfn.RANK.EQ(F58,$F$37:$F$60,1)+COUNTIF($F$37:F81,F58)-1)</f>
        <v/>
      </c>
      <c r="H58" s="19" t="str">
        <f t="shared" si="6"/>
        <v/>
      </c>
      <c r="I58" s="18" t="str">
        <f t="shared" si="7"/>
        <v/>
      </c>
      <c r="J58" s="17" t="str">
        <f t="shared" si="8"/>
        <v/>
      </c>
      <c r="K58" s="16" t="str">
        <f t="shared" si="9"/>
        <v>~</v>
      </c>
    </row>
    <row r="59" spans="1:11" x14ac:dyDescent="0.25">
      <c r="A59">
        <v>19</v>
      </c>
      <c r="B59" t="s">
        <v>41</v>
      </c>
      <c r="C59" t="s">
        <v>17</v>
      </c>
      <c r="D59">
        <f>VLOOKUP(C59,Lookups!$E$2:$F$47,2,FALSE)</f>
        <v>0.7</v>
      </c>
      <c r="E59" s="30"/>
      <c r="F59" s="29" t="str">
        <f t="shared" si="10"/>
        <v/>
      </c>
      <c r="G59" t="str">
        <f>IF(F59="","",_xlfn.RANK.EQ(F59,$F$37:$F$60,1)+COUNTIF($F$37:F82,F59)-1)</f>
        <v/>
      </c>
      <c r="H59" s="19" t="str">
        <f t="shared" si="6"/>
        <v/>
      </c>
      <c r="I59" s="18" t="str">
        <f t="shared" si="7"/>
        <v/>
      </c>
      <c r="J59" s="17" t="str">
        <f t="shared" si="8"/>
        <v/>
      </c>
      <c r="K59" s="16" t="str">
        <f t="shared" si="9"/>
        <v>~</v>
      </c>
    </row>
    <row r="60" spans="1:11" x14ac:dyDescent="0.25">
      <c r="A60">
        <v>19</v>
      </c>
      <c r="B60" t="s">
        <v>67</v>
      </c>
      <c r="C60" t="s">
        <v>34</v>
      </c>
      <c r="D60">
        <f>VLOOKUP(C60,Lookups!$E$2:$F$47,2,FALSE)</f>
        <v>0.8</v>
      </c>
      <c r="E60" s="30"/>
      <c r="F60" s="29" t="str">
        <f t="shared" si="10"/>
        <v/>
      </c>
      <c r="G60" t="str">
        <f>IF(F60="","",_xlfn.RANK.EQ(F60,$F$37:$F$60,1)+COUNTIF($F$37:F82,F60)-1)</f>
        <v/>
      </c>
      <c r="H60" s="19" t="str">
        <f t="shared" si="6"/>
        <v/>
      </c>
      <c r="I60" s="18" t="str">
        <f t="shared" si="7"/>
        <v/>
      </c>
      <c r="J60" s="17" t="str">
        <f t="shared" si="8"/>
        <v/>
      </c>
      <c r="K60" s="16" t="str">
        <f t="shared" si="9"/>
        <v>~</v>
      </c>
    </row>
    <row r="61" spans="1:11" x14ac:dyDescent="0.25">
      <c r="E61" s="26"/>
    </row>
    <row r="62" spans="1:11" x14ac:dyDescent="0.25">
      <c r="A62" t="s">
        <v>64</v>
      </c>
      <c r="E62" s="26"/>
    </row>
    <row r="63" spans="1:11" ht="30" x14ac:dyDescent="0.25">
      <c r="A63" t="s">
        <v>8</v>
      </c>
      <c r="B63" t="s">
        <v>9</v>
      </c>
      <c r="C63" t="s">
        <v>10</v>
      </c>
      <c r="D63" t="s">
        <v>54</v>
      </c>
      <c r="E63" s="27" t="s">
        <v>95</v>
      </c>
      <c r="F63" s="24" t="s">
        <v>94</v>
      </c>
      <c r="G63" s="24" t="s">
        <v>8</v>
      </c>
      <c r="H63" s="23" t="s">
        <v>93</v>
      </c>
      <c r="I63" s="22" t="s">
        <v>92</v>
      </c>
      <c r="J63" s="21" t="s">
        <v>91</v>
      </c>
      <c r="K63" s="20" t="s">
        <v>90</v>
      </c>
    </row>
    <row r="64" spans="1:11" x14ac:dyDescent="0.25">
      <c r="A64">
        <v>1</v>
      </c>
      <c r="B64" t="s">
        <v>60</v>
      </c>
      <c r="C64" t="s">
        <v>34</v>
      </c>
      <c r="D64">
        <f>VLOOKUP(C64,Lookups!$E$2:$F$47,2,FALSE)</f>
        <v>0.8</v>
      </c>
      <c r="E64" s="30"/>
      <c r="F64" s="29" t="str">
        <f>IF(E64="","",E64*D64)</f>
        <v/>
      </c>
      <c r="G64" t="str">
        <f>IF(F64="","",_xlfn.RANK.EQ(F64,$F$64:$F$81,1)+COUNTIF($F$64:F81,F64)-1)</f>
        <v/>
      </c>
      <c r="H64" s="19" t="str">
        <f>IFERROR((1000+200*(AVERAGE($F$64:$F$81)-F64)/_xlfn.STDEV.P($F$64:$F$81)),"")</f>
        <v/>
      </c>
      <c r="I64" s="18" t="str">
        <f>IFERROR(((1000*SMALL($F$64:$F$81,1)/F64)),"")</f>
        <v/>
      </c>
      <c r="J64" s="17" t="str">
        <f>IF(E64="","",IF(F64&gt;=2*SMALL($F$64:$F$81,1),0,1000-((F64-SMALL($F$64:$F$81,1))/SMALL($F$64:$F$81,1)*100)))</f>
        <v/>
      </c>
      <c r="K64" s="16" t="str">
        <f>IFERROR((1000-MINUTE(F64-SMALL($F$64:$F$81,1))),"~")</f>
        <v>~</v>
      </c>
    </row>
    <row r="65" spans="1:11" x14ac:dyDescent="0.25">
      <c r="A65">
        <v>2</v>
      </c>
      <c r="B65" t="s">
        <v>65</v>
      </c>
      <c r="C65" t="s">
        <v>108</v>
      </c>
      <c r="D65">
        <f>VLOOKUP(C65,Lookups!$E$2:$F$47,2,FALSE)</f>
        <v>0.65</v>
      </c>
      <c r="E65" s="30"/>
      <c r="F65" s="29" t="str">
        <f t="shared" ref="F65:F81" si="16">IF(E65="","",E65*D65)</f>
        <v/>
      </c>
      <c r="G65" t="str">
        <f>IF(F65="","",_xlfn.RANK.EQ(F65,$F$64:$F$81,1)+COUNTIF($F$64:F82,F65)-1)</f>
        <v/>
      </c>
      <c r="H65" s="19" t="str">
        <f t="shared" ref="H65:H81" si="17">IFERROR((1000+200*(AVERAGE($F$64:$F$81)-F65)/_xlfn.STDEV.P($F$64:$F$81)),"")</f>
        <v/>
      </c>
      <c r="I65" s="18" t="str">
        <f t="shared" ref="I65:I81" si="18">IFERROR(((1000*SMALL($F$64:$F$81,1)/F65)),"")</f>
        <v/>
      </c>
      <c r="J65" s="17" t="str">
        <f t="shared" ref="J65:J81" si="19">IF(E65="","",IF(F65&gt;=2*SMALL($F$64:$F$81,1),0,1000-((F65-SMALL($F$64:$F$81,1))/SMALL($F$64:$F$81,1)*100)))</f>
        <v/>
      </c>
      <c r="K65" s="16" t="str">
        <f t="shared" ref="K65:K81" si="20">IFERROR((1000-MINUTE(F65-SMALL($F$64:$F$81,1))),"~")</f>
        <v>~</v>
      </c>
    </row>
    <row r="66" spans="1:11" x14ac:dyDescent="0.25">
      <c r="A66">
        <v>3</v>
      </c>
      <c r="B66" t="s">
        <v>67</v>
      </c>
      <c r="C66" t="s">
        <v>34</v>
      </c>
      <c r="D66">
        <f>VLOOKUP(C66,Lookups!$E$2:$F$47,2,FALSE)</f>
        <v>0.8</v>
      </c>
      <c r="E66" s="30"/>
      <c r="F66" s="29" t="str">
        <f t="shared" si="16"/>
        <v/>
      </c>
      <c r="G66" t="str">
        <f>IF(F66="","",_xlfn.RANK.EQ(F66,$F$64:$F$81,1)+COUNTIF($F$64:F83,F66)-1)</f>
        <v/>
      </c>
      <c r="H66" s="19" t="str">
        <f t="shared" si="17"/>
        <v/>
      </c>
      <c r="I66" s="18" t="str">
        <f t="shared" si="18"/>
        <v/>
      </c>
      <c r="J66" s="17" t="str">
        <f t="shared" si="19"/>
        <v/>
      </c>
      <c r="K66" s="16" t="str">
        <f t="shared" si="20"/>
        <v>~</v>
      </c>
    </row>
    <row r="67" spans="1:11" x14ac:dyDescent="0.25">
      <c r="B67" t="s">
        <v>44</v>
      </c>
      <c r="C67" t="s">
        <v>45</v>
      </c>
      <c r="D67">
        <f>VLOOKUP(C67,Lookups!$E$2:$F$47,2,FALSE)</f>
        <v>0.67</v>
      </c>
      <c r="E67" s="30"/>
      <c r="F67" s="29" t="str">
        <f t="shared" ref="F67:F70" si="21">IF(E67="","",E67*D67)</f>
        <v/>
      </c>
      <c r="G67" t="str">
        <f>IF(F67="","",_xlfn.RANK.EQ(F67,$F$64:$F$81,1)+COUNTIF($F$64:F84,F67)-1)</f>
        <v/>
      </c>
      <c r="H67" s="19" t="str">
        <f t="shared" ref="H67:H70" si="22">IFERROR((1000+200*(AVERAGE($F$64:$F$81)-F67)/_xlfn.STDEV.P($F$64:$F$81)),"")</f>
        <v/>
      </c>
      <c r="I67" s="18" t="str">
        <f t="shared" ref="I67:I70" si="23">IFERROR(((1000*SMALL($F$64:$F$81,1)/F67)),"")</f>
        <v/>
      </c>
      <c r="J67" s="17" t="str">
        <f t="shared" ref="J67:J70" si="24">IF(E67="","",IF(F67&gt;=2*SMALL($F$64:$F$81,1),0,1000-((F67-SMALL($F$64:$F$81,1))/SMALL($F$64:$F$81,1)*100)))</f>
        <v/>
      </c>
      <c r="K67" s="16" t="str">
        <f t="shared" ref="K67:K70" si="25">IFERROR((1000-MINUTE(F67-SMALL($F$64:$F$81,1))),"~")</f>
        <v>~</v>
      </c>
    </row>
    <row r="68" spans="1:11" x14ac:dyDescent="0.25">
      <c r="B68" t="s">
        <v>62</v>
      </c>
      <c r="C68" t="s">
        <v>63</v>
      </c>
      <c r="D68">
        <f>VLOOKUP(C68,Lookups!$E$2:$F$47,2,FALSE)</f>
        <v>0.62</v>
      </c>
      <c r="E68" s="30"/>
      <c r="F68" s="29" t="str">
        <f t="shared" si="21"/>
        <v/>
      </c>
      <c r="G68" t="str">
        <f>IF(F68="","",_xlfn.RANK.EQ(F68,$F$64:$F$81,1)+COUNTIF($F$64:F85,F68)-1)</f>
        <v/>
      </c>
      <c r="H68" s="19" t="str">
        <f t="shared" si="22"/>
        <v/>
      </c>
      <c r="I68" s="18" t="str">
        <f t="shared" si="23"/>
        <v/>
      </c>
      <c r="J68" s="17" t="str">
        <f t="shared" si="24"/>
        <v/>
      </c>
      <c r="K68" s="16" t="str">
        <f t="shared" si="25"/>
        <v>~</v>
      </c>
    </row>
    <row r="69" spans="1:11" x14ac:dyDescent="0.25">
      <c r="B69" t="s">
        <v>119</v>
      </c>
      <c r="C69" t="s">
        <v>47</v>
      </c>
      <c r="D69">
        <f>VLOOKUP(C69,Lookups!$E$2:$F$47,2,FALSE)</f>
        <v>0.8</v>
      </c>
      <c r="E69" s="30"/>
      <c r="F69" s="29" t="str">
        <f t="shared" si="21"/>
        <v/>
      </c>
      <c r="G69" t="str">
        <f>IF(F69="","",_xlfn.RANK.EQ(F69,$F$64:$F$81,1)+COUNTIF($F$64:F86,F69)-1)</f>
        <v/>
      </c>
      <c r="H69" s="19" t="str">
        <f t="shared" si="22"/>
        <v/>
      </c>
      <c r="I69" s="18" t="str">
        <f t="shared" si="23"/>
        <v/>
      </c>
      <c r="J69" s="17" t="str">
        <f t="shared" si="24"/>
        <v/>
      </c>
      <c r="K69" s="16" t="str">
        <f t="shared" si="25"/>
        <v>~</v>
      </c>
    </row>
    <row r="70" spans="1:11" x14ac:dyDescent="0.25">
      <c r="B70" t="s">
        <v>58</v>
      </c>
      <c r="C70" t="s">
        <v>59</v>
      </c>
      <c r="D70">
        <f>VLOOKUP(C70,Lookups!$E$2:$F$47,2,FALSE)</f>
        <v>0.77</v>
      </c>
      <c r="E70" s="30"/>
      <c r="F70" s="29" t="str">
        <f t="shared" si="21"/>
        <v/>
      </c>
      <c r="G70" t="str">
        <f>IF(F70="","",_xlfn.RANK.EQ(F70,$F$64:$F$81,1)+COUNTIF($F$64:F90,F70)-1)</f>
        <v/>
      </c>
      <c r="H70" s="19" t="str">
        <f t="shared" si="22"/>
        <v/>
      </c>
      <c r="I70" s="18" t="str">
        <f t="shared" si="23"/>
        <v/>
      </c>
      <c r="J70" s="17" t="str">
        <f t="shared" si="24"/>
        <v/>
      </c>
      <c r="K70" s="16" t="str">
        <f t="shared" si="25"/>
        <v>~</v>
      </c>
    </row>
    <row r="71" spans="1:11" x14ac:dyDescent="0.25">
      <c r="A71">
        <v>4</v>
      </c>
      <c r="B71" t="s">
        <v>111</v>
      </c>
      <c r="C71" t="s">
        <v>39</v>
      </c>
      <c r="D71">
        <f>VLOOKUP(C71,Lookups!$E$2:$F$47,2,FALSE)</f>
        <v>0.9</v>
      </c>
      <c r="E71" s="30"/>
      <c r="F71" s="29" t="str">
        <f t="shared" si="16"/>
        <v/>
      </c>
      <c r="G71" t="str">
        <f>IF(F71="","",_xlfn.RANK.EQ(F71,$F$64:$F$81,1)+COUNTIF($F$64:F84,F71)-1)</f>
        <v/>
      </c>
      <c r="H71" s="19" t="str">
        <f t="shared" si="17"/>
        <v/>
      </c>
      <c r="I71" s="18" t="str">
        <f t="shared" si="18"/>
        <v/>
      </c>
      <c r="J71" s="17" t="str">
        <f t="shared" si="19"/>
        <v/>
      </c>
      <c r="K71" s="16" t="str">
        <f t="shared" si="20"/>
        <v>~</v>
      </c>
    </row>
    <row r="72" spans="1:11" x14ac:dyDescent="0.25">
      <c r="A72">
        <v>5</v>
      </c>
      <c r="B72" t="s">
        <v>112</v>
      </c>
      <c r="C72" t="s">
        <v>17</v>
      </c>
      <c r="D72">
        <f>VLOOKUP(C72,Lookups!$E$2:$F$47,2,FALSE)</f>
        <v>0.7</v>
      </c>
      <c r="E72" s="30">
        <v>3.4212962962962966E-2</v>
      </c>
      <c r="F72" s="29">
        <f t="shared" si="16"/>
        <v>2.3949074074074074E-2</v>
      </c>
      <c r="G72">
        <f>IF(F72="","",_xlfn.RANK.EQ(F72,$F$64:$F$81,1)+COUNTIF($F$64:F85,F72)-1)</f>
        <v>1</v>
      </c>
      <c r="H72" s="19">
        <f t="shared" si="17"/>
        <v>1145.4841340572154</v>
      </c>
      <c r="I72" s="18">
        <f t="shared" si="18"/>
        <v>999.99999999999989</v>
      </c>
      <c r="J72" s="17">
        <f t="shared" si="19"/>
        <v>1000</v>
      </c>
      <c r="K72" s="16">
        <f t="shared" si="20"/>
        <v>1000</v>
      </c>
    </row>
    <row r="73" spans="1:11" x14ac:dyDescent="0.25">
      <c r="A73">
        <v>6</v>
      </c>
      <c r="B73" t="s">
        <v>69</v>
      </c>
      <c r="C73" t="s">
        <v>70</v>
      </c>
      <c r="D73">
        <f>VLOOKUP(C73,Lookups!$E$2:$F$47,2,FALSE)</f>
        <v>0.71</v>
      </c>
      <c r="E73" s="30"/>
      <c r="F73" s="29" t="str">
        <f t="shared" si="16"/>
        <v/>
      </c>
      <c r="G73" t="str">
        <f>IF(F73="","",_xlfn.RANK.EQ(F73,$F$64:$F$81,1)+COUNTIF($F$64:F86,F73)-1)</f>
        <v/>
      </c>
      <c r="H73" s="19" t="str">
        <f t="shared" si="17"/>
        <v/>
      </c>
      <c r="I73" s="18" t="str">
        <f t="shared" si="18"/>
        <v/>
      </c>
      <c r="J73" s="17" t="str">
        <f t="shared" si="19"/>
        <v/>
      </c>
      <c r="K73" s="16" t="str">
        <f t="shared" si="20"/>
        <v>~</v>
      </c>
    </row>
    <row r="74" spans="1:11" x14ac:dyDescent="0.25">
      <c r="A74">
        <v>7</v>
      </c>
      <c r="B74" t="s">
        <v>125</v>
      </c>
      <c r="C74" t="s">
        <v>49</v>
      </c>
      <c r="D74">
        <f>VLOOKUP(C74,Lookups!$E$2:$F$47,2,FALSE)</f>
        <v>0.7</v>
      </c>
      <c r="E74" s="30"/>
      <c r="F74" s="29" t="str">
        <f t="shared" si="16"/>
        <v/>
      </c>
      <c r="G74" t="str">
        <f>IF(F74="","",_xlfn.RANK.EQ(F74,$F$64:$F$81,1)+COUNTIF($F$64:F90,F74)-1)</f>
        <v/>
      </c>
      <c r="H74" s="19" t="str">
        <f t="shared" si="17"/>
        <v/>
      </c>
      <c r="I74" s="18" t="str">
        <f t="shared" si="18"/>
        <v/>
      </c>
      <c r="J74" s="17" t="str">
        <f t="shared" si="19"/>
        <v/>
      </c>
      <c r="K74" s="16" t="str">
        <f t="shared" si="20"/>
        <v>~</v>
      </c>
    </row>
    <row r="75" spans="1:11" x14ac:dyDescent="0.25">
      <c r="A75">
        <v>8</v>
      </c>
      <c r="B75" t="s">
        <v>73</v>
      </c>
      <c r="C75" t="s">
        <v>63</v>
      </c>
      <c r="D75">
        <f>VLOOKUP(C75,Lookups!$E$2:$F$47,2,FALSE)</f>
        <v>0.62</v>
      </c>
      <c r="E75" s="30"/>
      <c r="F75" s="29" t="str">
        <f t="shared" si="16"/>
        <v/>
      </c>
      <c r="G75" t="str">
        <f>IF(F75="","",_xlfn.RANK.EQ(F75,$F$64:$F$81,1)+COUNTIF($F$64:F91,F75)-1)</f>
        <v/>
      </c>
      <c r="H75" s="19" t="str">
        <f t="shared" si="17"/>
        <v/>
      </c>
      <c r="I75" s="18" t="str">
        <f t="shared" si="18"/>
        <v/>
      </c>
      <c r="J75" s="17" t="str">
        <f t="shared" si="19"/>
        <v/>
      </c>
      <c r="K75" s="16" t="str">
        <f t="shared" si="20"/>
        <v>~</v>
      </c>
    </row>
    <row r="76" spans="1:11" x14ac:dyDescent="0.25">
      <c r="A76">
        <v>9</v>
      </c>
      <c r="B76" t="s">
        <v>113</v>
      </c>
      <c r="C76" t="s">
        <v>47</v>
      </c>
      <c r="D76">
        <f>VLOOKUP(C76,Lookups!$E$2:$F$47,2,FALSE)</f>
        <v>0.8</v>
      </c>
      <c r="E76" s="30">
        <v>3.0219907407407407E-2</v>
      </c>
      <c r="F76" s="29">
        <f t="shared" si="16"/>
        <v>2.4175925925925927E-2</v>
      </c>
      <c r="G76">
        <f>IF(F76="","",_xlfn.RANK.EQ(F76,$F$64:$F$81,1)+COUNTIF($F$64:F92,F76)-1)</f>
        <v>2</v>
      </c>
      <c r="H76" s="19">
        <f t="shared" si="17"/>
        <v>1137.3192931812521</v>
      </c>
      <c r="I76" s="18">
        <f t="shared" si="18"/>
        <v>990.61662198391411</v>
      </c>
      <c r="J76" s="17">
        <f t="shared" si="19"/>
        <v>999.05277401894455</v>
      </c>
      <c r="K76" s="16">
        <f t="shared" si="20"/>
        <v>1000</v>
      </c>
    </row>
    <row r="77" spans="1:11" x14ac:dyDescent="0.25">
      <c r="A77">
        <v>10</v>
      </c>
      <c r="B77" t="s">
        <v>75</v>
      </c>
      <c r="C77" t="s">
        <v>21</v>
      </c>
      <c r="D77">
        <f>VLOOKUP(C77,Lookups!$E$2:$F$47,2,FALSE)</f>
        <v>0.84</v>
      </c>
      <c r="E77" s="30"/>
      <c r="F77" s="29" t="str">
        <f t="shared" si="16"/>
        <v/>
      </c>
      <c r="G77" t="str">
        <f>IF(F77="","",_xlfn.RANK.EQ(F77,$F$64:$F$81,1)+COUNTIF($F$64:F93,F77)-1)</f>
        <v/>
      </c>
      <c r="H77" s="19" t="str">
        <f t="shared" si="17"/>
        <v/>
      </c>
      <c r="I77" s="18" t="str">
        <f t="shared" si="18"/>
        <v/>
      </c>
      <c r="J77" s="17" t="str">
        <f t="shared" si="19"/>
        <v/>
      </c>
      <c r="K77" s="16" t="str">
        <f t="shared" si="20"/>
        <v>~</v>
      </c>
    </row>
    <row r="78" spans="1:11" x14ac:dyDescent="0.25">
      <c r="A78">
        <v>11</v>
      </c>
      <c r="B78" t="s">
        <v>76</v>
      </c>
      <c r="C78" t="s">
        <v>19</v>
      </c>
      <c r="D78">
        <f>VLOOKUP(C78,Lookups!$E$2:$F$47,2,FALSE)</f>
        <v>0.63</v>
      </c>
      <c r="E78" s="30"/>
      <c r="F78" s="29" t="str">
        <f t="shared" si="16"/>
        <v/>
      </c>
      <c r="G78" t="str">
        <f>IF(F78="","",_xlfn.RANK.EQ(F78,$F$64:$F$81,1)+COUNTIF($F$64:F94,F78)-1)</f>
        <v/>
      </c>
      <c r="H78" s="19" t="str">
        <f t="shared" si="17"/>
        <v/>
      </c>
      <c r="I78" s="18" t="str">
        <f t="shared" si="18"/>
        <v/>
      </c>
      <c r="J78" s="17" t="str">
        <f t="shared" si="19"/>
        <v/>
      </c>
      <c r="K78" s="16" t="str">
        <f t="shared" si="20"/>
        <v>~</v>
      </c>
    </row>
    <row r="79" spans="1:11" x14ac:dyDescent="0.25">
      <c r="A79">
        <v>12</v>
      </c>
      <c r="B79" t="s">
        <v>77</v>
      </c>
      <c r="C79" t="s">
        <v>49</v>
      </c>
      <c r="D79">
        <f>VLOOKUP(C79,Lookups!$E$2:$F$47,2,FALSE)</f>
        <v>0.7</v>
      </c>
      <c r="E79" s="30"/>
      <c r="F79" s="29" t="str">
        <f t="shared" si="16"/>
        <v/>
      </c>
      <c r="G79" t="str">
        <f>IF(F79="","",_xlfn.RANK.EQ(F79,$F$64:$F$81,1)+COUNTIF($F$64:F95,F79)-1)</f>
        <v/>
      </c>
      <c r="H79" s="19" t="str">
        <f t="shared" si="17"/>
        <v/>
      </c>
      <c r="I79" s="18" t="str">
        <f t="shared" si="18"/>
        <v/>
      </c>
      <c r="J79" s="17" t="str">
        <f t="shared" si="19"/>
        <v/>
      </c>
      <c r="K79" s="16" t="str">
        <f t="shared" si="20"/>
        <v>~</v>
      </c>
    </row>
    <row r="80" spans="1:11" x14ac:dyDescent="0.25">
      <c r="A80">
        <v>13</v>
      </c>
      <c r="B80" t="s">
        <v>57</v>
      </c>
      <c r="C80" t="s">
        <v>49</v>
      </c>
      <c r="D80">
        <f>VLOOKUP(C80,Lookups!$E$2:$F$47,2,FALSE)</f>
        <v>0.7</v>
      </c>
      <c r="E80" s="30"/>
      <c r="F80" s="29" t="str">
        <f t="shared" si="16"/>
        <v/>
      </c>
      <c r="G80" t="str">
        <f>IF(F80="","",_xlfn.RANK.EQ(F80,$F$64:$F$81,1)+COUNTIF($F$64:F96,F80)-1)</f>
        <v/>
      </c>
      <c r="H80" s="19" t="str">
        <f t="shared" si="17"/>
        <v/>
      </c>
      <c r="I80" s="18" t="str">
        <f t="shared" si="18"/>
        <v/>
      </c>
      <c r="J80" s="17" t="str">
        <f t="shared" si="19"/>
        <v/>
      </c>
      <c r="K80" s="16" t="str">
        <f t="shared" si="20"/>
        <v>~</v>
      </c>
    </row>
    <row r="81" spans="1:11" x14ac:dyDescent="0.25">
      <c r="A81">
        <v>14</v>
      </c>
      <c r="B81" t="s">
        <v>79</v>
      </c>
      <c r="C81" t="s">
        <v>80</v>
      </c>
      <c r="D81">
        <f>VLOOKUP(C81,Lookups!$E$2:$F$47,2,FALSE)</f>
        <v>0.53</v>
      </c>
      <c r="E81" s="30">
        <v>6.7638888888888887E-2</v>
      </c>
      <c r="F81" s="29">
        <f t="shared" si="16"/>
        <v>3.5848611111111109E-2</v>
      </c>
      <c r="G81">
        <f>IF(F81="","",_xlfn.RANK.EQ(F81,$F$64:$F$81,1)+COUNTIF($F$64:F97,F81)-1)</f>
        <v>3</v>
      </c>
      <c r="H81" s="19">
        <f t="shared" si="17"/>
        <v>717.19657276153237</v>
      </c>
      <c r="I81" s="18">
        <f t="shared" si="18"/>
        <v>668.06142084124338</v>
      </c>
      <c r="J81" s="17">
        <f t="shared" si="19"/>
        <v>950.3131645080224</v>
      </c>
      <c r="K81" s="16">
        <f t="shared" si="20"/>
        <v>983</v>
      </c>
    </row>
    <row r="82" spans="1:11" x14ac:dyDescent="0.25">
      <c r="E82" s="26"/>
    </row>
    <row r="83" spans="1:11" x14ac:dyDescent="0.25">
      <c r="A83" t="s">
        <v>81</v>
      </c>
      <c r="E83" s="26"/>
    </row>
    <row r="84" spans="1:11" ht="30" x14ac:dyDescent="0.25">
      <c r="A84" t="s">
        <v>8</v>
      </c>
      <c r="B84" t="s">
        <v>9</v>
      </c>
      <c r="C84" t="s">
        <v>10</v>
      </c>
      <c r="D84" t="s">
        <v>54</v>
      </c>
      <c r="E84" s="27" t="s">
        <v>95</v>
      </c>
      <c r="F84" s="24" t="s">
        <v>94</v>
      </c>
      <c r="G84" s="24" t="s">
        <v>8</v>
      </c>
      <c r="H84" s="23" t="s">
        <v>93</v>
      </c>
      <c r="I84" s="22" t="s">
        <v>92</v>
      </c>
      <c r="J84" s="21" t="s">
        <v>91</v>
      </c>
      <c r="K84" s="20" t="s">
        <v>90</v>
      </c>
    </row>
    <row r="85" spans="1:11" x14ac:dyDescent="0.25">
      <c r="A85">
        <v>1</v>
      </c>
      <c r="B85" t="s">
        <v>65</v>
      </c>
      <c r="C85" t="s">
        <v>108</v>
      </c>
      <c r="D85">
        <f>VLOOKUP(C85,Lookups!$E$2:$F$47,2,FALSE)</f>
        <v>0.65</v>
      </c>
      <c r="E85" s="30"/>
      <c r="F85" s="29" t="str">
        <f>IF(E85="","",E85*D85)</f>
        <v/>
      </c>
      <c r="G85" t="str">
        <f>IF(F85="","",_xlfn.RANK.EQ(F85,$F$85:$F$98,1)+COUNTIF($F$85:F98,F85)-1)</f>
        <v/>
      </c>
      <c r="H85" s="19" t="str">
        <f>IFERROR((1000+200*(AVERAGE($F$85:$F$98)-F85)/_xlfn.STDEV.P($F$85:$F$98)),"")</f>
        <v/>
      </c>
      <c r="I85" s="18" t="str">
        <f>IFERROR(((1000*SMALL($F$85:$F$98,1)/F85)),"")</f>
        <v/>
      </c>
      <c r="J85" s="17" t="str">
        <f>IF(E85="","",IF(F85&gt;=2*SMALL($F$85:$F$98,1),0,1000-((F85-SMALL($F$85:$F$98,1))/SMALL($F$85:$F$98,1)*100)))</f>
        <v/>
      </c>
      <c r="K85" s="16" t="str">
        <f>IFERROR((1000-MINUTE(F85-SMALL($F$85:$F$98,1))),"~")</f>
        <v>~</v>
      </c>
    </row>
    <row r="86" spans="1:11" x14ac:dyDescent="0.25">
      <c r="A86">
        <v>2</v>
      </c>
      <c r="B86" t="s">
        <v>68</v>
      </c>
      <c r="C86" t="s">
        <v>63</v>
      </c>
      <c r="D86">
        <f>VLOOKUP(C86,Lookups!$E$2:$F$47,2,FALSE)</f>
        <v>0.62</v>
      </c>
      <c r="E86" s="30"/>
      <c r="F86" s="29" t="str">
        <f t="shared" ref="F86:F98" si="26">IF(E86="","",E86*D86)</f>
        <v/>
      </c>
      <c r="G86" t="str">
        <f>IF(F86="","",_xlfn.RANK.EQ(F86,$F$85:$F$98,1)+COUNTIF($F$85:F99,F86)-1)</f>
        <v/>
      </c>
      <c r="H86" s="19" t="str">
        <f t="shared" ref="H86:H98" si="27">IFERROR((1000+200*(AVERAGE($F$85:$F$98)-F86)/_xlfn.STDEV.P($F$85:$F$98)),"")</f>
        <v/>
      </c>
      <c r="I86" s="18" t="str">
        <f t="shared" ref="I86:I98" si="28">IFERROR(((1000*SMALL($F$85:$F$98,1)/F86)),"")</f>
        <v/>
      </c>
      <c r="J86" s="17" t="str">
        <f t="shared" ref="J86:J98" si="29">IF(E86="","",IF(F86&gt;=2*SMALL($F$85:$F$98,1),0,1000-((F86-SMALL($F$85:$F$98,1))/SMALL($F$85:$F$98,1)*100)))</f>
        <v/>
      </c>
      <c r="K86" s="16" t="str">
        <f t="shared" ref="K86:K98" si="30">IFERROR((1000-MINUTE(F86-SMALL($F$85:$F$98,1))),"~")</f>
        <v>~</v>
      </c>
    </row>
    <row r="87" spans="1:11" x14ac:dyDescent="0.25">
      <c r="B87" t="s">
        <v>120</v>
      </c>
      <c r="C87" t="s">
        <v>72</v>
      </c>
      <c r="D87">
        <f>VLOOKUP(C87,Lookups!$E$2:$F$47,2,FALSE)</f>
        <v>0.6</v>
      </c>
      <c r="E87" s="30"/>
      <c r="F87" s="29" t="str">
        <f t="shared" ref="F87:F90" si="31">IF(E87="","",E87*D87)</f>
        <v/>
      </c>
      <c r="G87" t="str">
        <f>IF(F87="","",_xlfn.RANK.EQ(F87,$F$85:$F$98,1)+COUNTIF($F$85:F100,F87)-1)</f>
        <v/>
      </c>
      <c r="H87" s="19" t="str">
        <f t="shared" ref="H87:H90" si="32">IFERROR((1000+200*(AVERAGE($F$85:$F$98)-F87)/_xlfn.STDEV.P($F$85:$F$98)),"")</f>
        <v/>
      </c>
      <c r="I87" s="18" t="str">
        <f t="shared" ref="I87:I90" si="33">IFERROR(((1000*SMALL($F$85:$F$98,1)/F87)),"")</f>
        <v/>
      </c>
      <c r="J87" s="17" t="str">
        <f t="shared" ref="J87:J90" si="34">IF(E87="","",IF(F87&gt;=2*SMALL($F$85:$F$98,1),0,1000-((F87-SMALL($F$85:$F$98,1))/SMALL($F$85:$F$98,1)*100)))</f>
        <v/>
      </c>
      <c r="K87" s="16" t="str">
        <f t="shared" ref="K87:K90" si="35">IFERROR((1000-MINUTE(F87-SMALL($F$85:$F$98,1))),"~")</f>
        <v>~</v>
      </c>
    </row>
    <row r="88" spans="1:11" x14ac:dyDescent="0.25">
      <c r="B88" t="s">
        <v>122</v>
      </c>
      <c r="C88" t="s">
        <v>66</v>
      </c>
      <c r="D88">
        <f>VLOOKUP(C88,Lookups!$E$2:$F$47,2,FALSE)</f>
        <v>0.57999999999999996</v>
      </c>
      <c r="E88" s="30"/>
      <c r="F88" s="29" t="str">
        <f t="shared" si="31"/>
        <v/>
      </c>
      <c r="G88" t="str">
        <f>IF(F88="","",_xlfn.RANK.EQ(F88,$F$85:$F$98,1)+COUNTIF($F$85:F101,F88)-1)</f>
        <v/>
      </c>
      <c r="H88" s="19" t="str">
        <f t="shared" si="32"/>
        <v/>
      </c>
      <c r="I88" s="18" t="str">
        <f t="shared" si="33"/>
        <v/>
      </c>
      <c r="J88" s="17" t="str">
        <f t="shared" si="34"/>
        <v/>
      </c>
      <c r="K88" s="16" t="str">
        <f t="shared" si="35"/>
        <v>~</v>
      </c>
    </row>
    <row r="89" spans="1:11" x14ac:dyDescent="0.25">
      <c r="B89" t="s">
        <v>121</v>
      </c>
      <c r="C89" t="s">
        <v>72</v>
      </c>
      <c r="D89">
        <f>VLOOKUP(C89,Lookups!$E$2:$F$47,2,FALSE)</f>
        <v>0.6</v>
      </c>
      <c r="E89" s="30"/>
      <c r="F89" s="29" t="str">
        <f t="shared" si="31"/>
        <v/>
      </c>
      <c r="G89" t="str">
        <f>IF(F89="","",_xlfn.RANK.EQ(F89,$F$85:$F$98,1)+COUNTIF($F$85:F102,F89)-1)</f>
        <v/>
      </c>
      <c r="H89" s="19" t="str">
        <f t="shared" si="32"/>
        <v/>
      </c>
      <c r="I89" s="18" t="str">
        <f t="shared" si="33"/>
        <v/>
      </c>
      <c r="J89" s="17" t="str">
        <f t="shared" si="34"/>
        <v/>
      </c>
      <c r="K89" s="16" t="str">
        <f t="shared" si="35"/>
        <v>~</v>
      </c>
    </row>
    <row r="90" spans="1:11" x14ac:dyDescent="0.25">
      <c r="A90">
        <v>3</v>
      </c>
      <c r="B90" t="s">
        <v>71</v>
      </c>
      <c r="C90" t="s">
        <v>72</v>
      </c>
      <c r="D90">
        <f>VLOOKUP(C90,Lookups!$E$2:$F$47,2,FALSE)</f>
        <v>0.6</v>
      </c>
      <c r="E90" s="30"/>
      <c r="F90" s="29" t="str">
        <f t="shared" si="31"/>
        <v/>
      </c>
      <c r="G90" t="str">
        <f>IF(F90="","",_xlfn.RANK.EQ(F90,$F$85:$F$98,1)+COUNTIF($F$85:F103,F90)-1)</f>
        <v/>
      </c>
      <c r="H90" s="19" t="str">
        <f t="shared" si="32"/>
        <v/>
      </c>
      <c r="I90" s="18" t="str">
        <f t="shared" si="33"/>
        <v/>
      </c>
      <c r="J90" s="17" t="str">
        <f t="shared" si="34"/>
        <v/>
      </c>
      <c r="K90" s="16" t="str">
        <f t="shared" si="35"/>
        <v>~</v>
      </c>
    </row>
    <row r="91" spans="1:11" x14ac:dyDescent="0.25">
      <c r="A91">
        <v>4</v>
      </c>
      <c r="B91" t="s">
        <v>83</v>
      </c>
      <c r="C91" t="s">
        <v>66</v>
      </c>
      <c r="D91">
        <f>VLOOKUP(C91,Lookups!$E$2:$F$47,2,FALSE)</f>
        <v>0.57999999999999996</v>
      </c>
      <c r="E91" s="30">
        <v>4.0347222222222222E-2</v>
      </c>
      <c r="F91" s="29">
        <f t="shared" si="26"/>
        <v>2.3401388888888888E-2</v>
      </c>
      <c r="G91">
        <f>IF(F91="","",_xlfn.RANK.EQ(F91,$F$85:$F$98,1)+COUNTIF($F$85:F101,F91)-1)</f>
        <v>1</v>
      </c>
      <c r="H91" s="19">
        <f t="shared" si="27"/>
        <v>1199.9999999999991</v>
      </c>
      <c r="I91" s="18">
        <f t="shared" si="28"/>
        <v>1000</v>
      </c>
      <c r="J91" s="17">
        <f t="shared" si="29"/>
        <v>1000</v>
      </c>
      <c r="K91" s="16">
        <f t="shared" si="30"/>
        <v>1000</v>
      </c>
    </row>
    <row r="92" spans="1:11" x14ac:dyDescent="0.25">
      <c r="A92">
        <v>4</v>
      </c>
      <c r="B92" t="s">
        <v>112</v>
      </c>
      <c r="C92" t="s">
        <v>17</v>
      </c>
      <c r="D92">
        <f>VLOOKUP(C92,Lookups!$E$2:$F$47,2,FALSE)</f>
        <v>0.7</v>
      </c>
      <c r="E92" s="30"/>
      <c r="F92" s="29" t="str">
        <f t="shared" si="26"/>
        <v/>
      </c>
      <c r="G92" t="str">
        <f>IF(F92="","",_xlfn.RANK.EQ(F92,$F$85:$F$98,1)+COUNTIF($F$85:F102,F92)-1)</f>
        <v/>
      </c>
      <c r="H92" s="19" t="str">
        <f t="shared" si="27"/>
        <v/>
      </c>
      <c r="I92" s="18" t="str">
        <f t="shared" si="28"/>
        <v/>
      </c>
      <c r="J92" s="17" t="str">
        <f t="shared" si="29"/>
        <v/>
      </c>
      <c r="K92" s="16" t="str">
        <f t="shared" si="30"/>
        <v>~</v>
      </c>
    </row>
    <row r="93" spans="1:11" x14ac:dyDescent="0.25">
      <c r="A93">
        <v>6</v>
      </c>
      <c r="B93" t="s">
        <v>85</v>
      </c>
      <c r="C93" t="s">
        <v>72</v>
      </c>
      <c r="D93">
        <f>VLOOKUP(C93,Lookups!$E$2:$F$47,2,FALSE)</f>
        <v>0.6</v>
      </c>
      <c r="E93" s="30">
        <v>4.0173611111111111E-2</v>
      </c>
      <c r="F93" s="29">
        <f t="shared" si="26"/>
        <v>2.4104166666666666E-2</v>
      </c>
      <c r="G93">
        <f>IF(F93="","",_xlfn.RANK.EQ(F93,$F$85:$F$98,1)+COUNTIF($F$85:F103,F93)-1)</f>
        <v>2</v>
      </c>
      <c r="H93" s="19">
        <f t="shared" si="27"/>
        <v>799.99999999999898</v>
      </c>
      <c r="I93" s="18">
        <f t="shared" si="28"/>
        <v>970.84413713627202</v>
      </c>
      <c r="J93" s="17">
        <f t="shared" si="29"/>
        <v>996.99685441272482</v>
      </c>
      <c r="K93" s="16">
        <f t="shared" si="30"/>
        <v>999</v>
      </c>
    </row>
    <row r="94" spans="1:11" x14ac:dyDescent="0.25">
      <c r="A94">
        <v>7</v>
      </c>
      <c r="B94" t="s">
        <v>57</v>
      </c>
      <c r="C94" t="s">
        <v>49</v>
      </c>
      <c r="D94">
        <f>VLOOKUP(C94,Lookups!$E$2:$F$47,2,FALSE)</f>
        <v>0.7</v>
      </c>
      <c r="E94" s="30"/>
      <c r="F94" s="29" t="str">
        <f t="shared" si="26"/>
        <v/>
      </c>
      <c r="G94" t="str">
        <f>IF(F94="","",_xlfn.RANK.EQ(F94,$F$85:$F$98,1)+COUNTIF($F$85:F104,F94)-1)</f>
        <v/>
      </c>
      <c r="H94" s="19" t="str">
        <f t="shared" si="27"/>
        <v/>
      </c>
      <c r="I94" s="18" t="str">
        <f t="shared" si="28"/>
        <v/>
      </c>
      <c r="J94" s="17" t="str">
        <f t="shared" si="29"/>
        <v/>
      </c>
      <c r="K94" s="16" t="str">
        <f t="shared" si="30"/>
        <v>~</v>
      </c>
    </row>
    <row r="95" spans="1:11" x14ac:dyDescent="0.25">
      <c r="A95">
        <v>8</v>
      </c>
      <c r="B95" t="s">
        <v>86</v>
      </c>
      <c r="C95" t="s">
        <v>66</v>
      </c>
      <c r="D95">
        <f>VLOOKUP(C95,Lookups!$E$2:$F$47,2,FALSE)</f>
        <v>0.57999999999999996</v>
      </c>
      <c r="E95" s="30"/>
      <c r="F95" s="29" t="str">
        <f t="shared" si="26"/>
        <v/>
      </c>
      <c r="G95" t="str">
        <f>IF(F95="","",_xlfn.RANK.EQ(F95,$F$85:$F$98,1)+COUNTIF($F$85:F105,F95)-1)</f>
        <v/>
      </c>
      <c r="H95" s="19" t="str">
        <f t="shared" si="27"/>
        <v/>
      </c>
      <c r="I95" s="18" t="str">
        <f t="shared" si="28"/>
        <v/>
      </c>
      <c r="J95" s="17" t="str">
        <f t="shared" si="29"/>
        <v/>
      </c>
      <c r="K95" s="16" t="str">
        <f t="shared" si="30"/>
        <v>~</v>
      </c>
    </row>
    <row r="96" spans="1:11" x14ac:dyDescent="0.25">
      <c r="A96">
        <v>9</v>
      </c>
      <c r="B96" t="s">
        <v>77</v>
      </c>
      <c r="C96" t="s">
        <v>34</v>
      </c>
      <c r="D96">
        <f>VLOOKUP(C96,Lookups!$E$2:$F$47,2,FALSE)</f>
        <v>0.8</v>
      </c>
      <c r="E96" s="30"/>
      <c r="F96" s="29" t="str">
        <f t="shared" si="26"/>
        <v/>
      </c>
      <c r="G96" t="str">
        <f>IF(F96="","",_xlfn.RANK.EQ(F96,$F$85:$F$98,1)+COUNTIF($F$85:F106,F96)-1)</f>
        <v/>
      </c>
      <c r="H96" s="19" t="str">
        <f t="shared" si="27"/>
        <v/>
      </c>
      <c r="I96" s="18" t="str">
        <f t="shared" si="28"/>
        <v/>
      </c>
      <c r="J96" s="17" t="str">
        <f t="shared" si="29"/>
        <v/>
      </c>
      <c r="K96" s="16" t="str">
        <f t="shared" si="30"/>
        <v>~</v>
      </c>
    </row>
    <row r="97" spans="1:11" x14ac:dyDescent="0.25">
      <c r="A97">
        <v>9</v>
      </c>
      <c r="B97" t="s">
        <v>88</v>
      </c>
      <c r="C97" t="s">
        <v>66</v>
      </c>
      <c r="D97">
        <f>VLOOKUP(C97,Lookups!$E$2:$F$47,2,FALSE)</f>
        <v>0.57999999999999996</v>
      </c>
      <c r="E97" s="30"/>
      <c r="F97" s="29" t="str">
        <f t="shared" si="26"/>
        <v/>
      </c>
      <c r="G97" t="str">
        <f>IF(F97="","",_xlfn.RANK.EQ(F97,$F$85:$F$98,1)+COUNTIF($F$85:F107,F97)-1)</f>
        <v/>
      </c>
      <c r="H97" s="19" t="str">
        <f t="shared" si="27"/>
        <v/>
      </c>
      <c r="I97" s="18" t="str">
        <f t="shared" si="28"/>
        <v/>
      </c>
      <c r="J97" s="17" t="str">
        <f t="shared" si="29"/>
        <v/>
      </c>
      <c r="K97" s="16" t="str">
        <f t="shared" si="30"/>
        <v>~</v>
      </c>
    </row>
    <row r="98" spans="1:11" x14ac:dyDescent="0.25">
      <c r="A98">
        <v>9</v>
      </c>
      <c r="B98" t="s">
        <v>89</v>
      </c>
      <c r="C98" t="s">
        <v>72</v>
      </c>
      <c r="D98">
        <f>VLOOKUP(C98,Lookups!$E$2:$F$47,2,FALSE)</f>
        <v>0.6</v>
      </c>
      <c r="E98" s="30"/>
      <c r="F98" s="29" t="str">
        <f t="shared" si="26"/>
        <v/>
      </c>
      <c r="G98" t="str">
        <f>IF(F98="","",_xlfn.RANK.EQ(F98,$F$85:$F$98,1)+COUNTIF($F$85:F108,F98)-1)</f>
        <v/>
      </c>
      <c r="H98" s="19" t="str">
        <f t="shared" si="27"/>
        <v/>
      </c>
      <c r="I98" s="18" t="str">
        <f t="shared" si="28"/>
        <v/>
      </c>
      <c r="J98" s="17" t="str">
        <f t="shared" si="29"/>
        <v/>
      </c>
      <c r="K98" s="16" t="str">
        <f t="shared" si="30"/>
        <v>~</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102"/>
  <sheetViews>
    <sheetView topLeftCell="A44" zoomScale="90" zoomScaleNormal="90" workbookViewId="0">
      <selection activeCell="B77" sqref="B77"/>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 min="12" max="12" width="4.28515625" customWidth="1"/>
    <col min="13" max="13" width="4.140625" customWidth="1"/>
    <col min="14" max="14" width="19.7109375" customWidth="1"/>
    <col min="24" max="24" width="3.5703125" customWidth="1"/>
    <col min="25" max="25" width="5.140625" customWidth="1"/>
    <col min="26" max="26" width="19.7109375" customWidth="1"/>
  </cols>
  <sheetData>
    <row r="2" spans="1:36" x14ac:dyDescent="0.25">
      <c r="E2" s="30">
        <v>7.829861111111111E-2</v>
      </c>
      <c r="F2" s="29">
        <f>E2*D7</f>
        <v>6.2638888888888897E-2</v>
      </c>
    </row>
    <row r="5" spans="1:36" x14ac:dyDescent="0.25">
      <c r="A5" t="s">
        <v>136</v>
      </c>
      <c r="M5" t="s">
        <v>132</v>
      </c>
      <c r="Y5" t="s">
        <v>135</v>
      </c>
    </row>
    <row r="6" spans="1:36" ht="30" x14ac:dyDescent="0.25">
      <c r="A6" s="24" t="s">
        <v>8</v>
      </c>
      <c r="B6" s="24" t="s">
        <v>9</v>
      </c>
      <c r="C6" s="24" t="s">
        <v>10</v>
      </c>
      <c r="D6" s="24" t="s">
        <v>12</v>
      </c>
      <c r="E6" s="28" t="s">
        <v>95</v>
      </c>
      <c r="F6" s="24" t="s">
        <v>94</v>
      </c>
      <c r="G6" s="24" t="s">
        <v>8</v>
      </c>
      <c r="H6" s="23" t="s">
        <v>93</v>
      </c>
      <c r="I6" s="22" t="s">
        <v>92</v>
      </c>
      <c r="J6" s="21" t="s">
        <v>91</v>
      </c>
      <c r="K6" s="20" t="s">
        <v>90</v>
      </c>
      <c r="M6" s="24" t="s">
        <v>8</v>
      </c>
      <c r="N6" s="24" t="s">
        <v>9</v>
      </c>
      <c r="O6" s="24" t="s">
        <v>10</v>
      </c>
      <c r="P6" s="24" t="s">
        <v>12</v>
      </c>
      <c r="Q6" s="28" t="s">
        <v>95</v>
      </c>
      <c r="R6" s="24" t="s">
        <v>94</v>
      </c>
      <c r="S6" s="24" t="s">
        <v>8</v>
      </c>
      <c r="T6" s="23" t="s">
        <v>93</v>
      </c>
      <c r="U6" s="22" t="s">
        <v>92</v>
      </c>
      <c r="V6" s="21" t="s">
        <v>91</v>
      </c>
      <c r="W6" s="20" t="s">
        <v>90</v>
      </c>
      <c r="Y6" s="24" t="s">
        <v>8</v>
      </c>
      <c r="Z6" s="24" t="s">
        <v>9</v>
      </c>
      <c r="AA6" s="24" t="s">
        <v>10</v>
      </c>
      <c r="AB6" s="24" t="s">
        <v>12</v>
      </c>
      <c r="AC6" s="28" t="s">
        <v>95</v>
      </c>
      <c r="AD6" s="24" t="s">
        <v>94</v>
      </c>
      <c r="AE6" s="24" t="s">
        <v>8</v>
      </c>
      <c r="AF6" s="23" t="s">
        <v>93</v>
      </c>
      <c r="AG6" s="22" t="s">
        <v>92</v>
      </c>
      <c r="AH6" s="21" t="s">
        <v>91</v>
      </c>
      <c r="AI6" s="20" t="s">
        <v>90</v>
      </c>
    </row>
    <row r="7" spans="1:36" x14ac:dyDescent="0.25">
      <c r="A7">
        <v>1</v>
      </c>
      <c r="B7" t="s">
        <v>16</v>
      </c>
      <c r="C7" t="s">
        <v>110</v>
      </c>
      <c r="D7">
        <f>VLOOKUP(C7,Lookups!$E$2:$F$47,2,FALSE)</f>
        <v>0.8</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J34" si="2">IF(E7="","",IF(F7&gt;=2*SMALL($F$7:$F$34,1),0,1000-((F7-SMALL($F$7:$F$34,1))/SMALL($F$7:$F$34,1)*100)))</f>
        <v/>
      </c>
      <c r="K7" s="16" t="str">
        <f t="shared" ref="K7:K34" si="3">IFERROR((1000-MINUTE(F7-SMALL($F$7:$F$34,1))),"~")</f>
        <v>~</v>
      </c>
      <c r="M7">
        <v>1</v>
      </c>
      <c r="N7" t="s">
        <v>16</v>
      </c>
      <c r="O7" t="s">
        <v>110</v>
      </c>
      <c r="P7">
        <f>VLOOKUP(O7,Lookups!$E$2:$F$47,2,FALSE)</f>
        <v>0.8</v>
      </c>
      <c r="Q7" s="30"/>
      <c r="R7" s="29" t="str">
        <f t="shared" ref="R7:R34" si="4">IF(Q7="","",Q7*P7)</f>
        <v/>
      </c>
      <c r="S7" t="str">
        <f>IF(R7="","",_xlfn.RANK.EQ(R7,$R$7:$R$34,1)+COUNTIF($R$7:R7,R7)-1)</f>
        <v/>
      </c>
      <c r="T7" s="19" t="str">
        <f>IFERROR((1000+200*(AVERAGE($R$7:$R$34)-R7)/_xlfn.STDEV.P($R$7:$R$34)),"")</f>
        <v/>
      </c>
      <c r="U7" s="18" t="str">
        <f>IFERROR(((1000*SMALL($R$7:$R$34,1)/R7)),"")</f>
        <v/>
      </c>
      <c r="V7" s="17" t="str">
        <f>IF(Q7="","",IF(R7&gt;=2*SMALL($R$7:$R$34,1),0,1000-((R7-SMALL($R$7:$R$34,1))/SMALL($R$7:$R$34,1)*100)))</f>
        <v/>
      </c>
      <c r="W7" s="16" t="str">
        <f>IFERROR((1000-MINUTE(R7-SMALL($R$7:$R$34,1))),"~")</f>
        <v>~</v>
      </c>
      <c r="Y7">
        <v>1</v>
      </c>
      <c r="Z7" t="s">
        <v>16</v>
      </c>
      <c r="AA7" t="s">
        <v>110</v>
      </c>
      <c r="AB7">
        <f>VLOOKUP(AA7,Lookups!$E$2:$F$47,2,FALSE)</f>
        <v>0.8</v>
      </c>
      <c r="AC7" s="30"/>
      <c r="AD7" s="29" t="str">
        <f t="shared" ref="AD7:AD34" si="5">IF(AC7="","",AC7*AB7)</f>
        <v/>
      </c>
      <c r="AE7" t="str">
        <f>IF(AD7="","",_xlfn.RANK.EQ(AD7,$AD$7:$AD$34,1)+COUNTIF($AD$7:AD7,AD7)-1)</f>
        <v/>
      </c>
      <c r="AF7" s="19" t="str">
        <f>IFERROR((1000+200*(AVERAGE($AD$7:$AD$34)-AD7)/_xlfn.STDEV.P($F$7:$F$34)),"")</f>
        <v/>
      </c>
      <c r="AG7" s="18" t="str">
        <f>IFERROR(((1000*SMALL($AD$7:$AD$34,1)/AD7)),"")</f>
        <v/>
      </c>
      <c r="AH7" s="17" t="str">
        <f>IF(AD7="","",IF(AD7&gt;=2*SMALL($AD$7:$AD$34,1),0,1000-((AD7-SMALL($AD$7:$AD$34,1))/SMALL($AD$7:$AD$34,1)*100)))</f>
        <v/>
      </c>
      <c r="AI7" s="16" t="str">
        <f>IFERROR((1000-MINUTE(AD7-SMALL($AD$7:$AD$34,1))),"~")</f>
        <v>~</v>
      </c>
      <c r="AJ7" s="31" t="str">
        <f>""</f>
        <v/>
      </c>
    </row>
    <row r="8" spans="1:36" x14ac:dyDescent="0.25">
      <c r="A8">
        <v>2</v>
      </c>
      <c r="B8" t="s">
        <v>20</v>
      </c>
      <c r="C8" t="s">
        <v>39</v>
      </c>
      <c r="D8">
        <f>VLOOKUP(C8,Lookups!$E$2:$F$47,2,FALSE)</f>
        <v>0.9</v>
      </c>
      <c r="E8" s="30">
        <v>3.6944444444444446E-2</v>
      </c>
      <c r="F8" s="29">
        <f t="shared" si="0"/>
        <v>3.3250000000000002E-2</v>
      </c>
      <c r="G8">
        <f>IF(F8="","",_xlfn.RANK.EQ(F8,$F$7:$F$34,1)+COUNTIF($F$7:F8,F8)-1)</f>
        <v>1</v>
      </c>
      <c r="H8" s="19">
        <f>IFERROR((1000+200*(AVERAGE($F$7:$F$34)-F8)/_xlfn.STDEV.P($F$7:$F$34)),"")</f>
        <v>1257.8464294890318</v>
      </c>
      <c r="I8" s="18">
        <f>IFERROR(((1000*SMALL($F$7:$F$34,1)/F8)),"")</f>
        <v>1000</v>
      </c>
      <c r="J8" s="17">
        <f t="shared" si="2"/>
        <v>1000</v>
      </c>
      <c r="K8" s="16">
        <f t="shared" si="3"/>
        <v>1000</v>
      </c>
      <c r="M8">
        <v>2</v>
      </c>
      <c r="N8" t="s">
        <v>20</v>
      </c>
      <c r="O8" t="s">
        <v>39</v>
      </c>
      <c r="P8">
        <f>VLOOKUP(O8,Lookups!$E$2:$F$47,2,FALSE)</f>
        <v>0.9</v>
      </c>
      <c r="Q8" s="30"/>
      <c r="R8" s="29" t="str">
        <f t="shared" si="4"/>
        <v/>
      </c>
      <c r="S8" t="str">
        <f>IF(R8="","",_xlfn.RANK.EQ(R8,$R$7:$R$34,1)+COUNTIF($R$7:R8,R8)-1)</f>
        <v/>
      </c>
      <c r="T8" s="19" t="str">
        <f t="shared" ref="T8:T34" si="6">IFERROR((1000+200*(AVERAGE($R$7:$R$34)-R8)/_xlfn.STDEV.P($R$7:$R$34)),"")</f>
        <v/>
      </c>
      <c r="U8" s="18" t="str">
        <f t="shared" ref="U8:U34" si="7">IFERROR(((1000*SMALL($R$7:$R$34,1)/R8)),"")</f>
        <v/>
      </c>
      <c r="V8" s="17" t="str">
        <f t="shared" ref="V8:V34" si="8">IF(Q8="","",IF(R8&gt;=2*SMALL($R$7:$R$34,1),0,1000-((R8-SMALL($R$7:$R$34,1))/SMALL($R$7:$R$34,1)*100)))</f>
        <v/>
      </c>
      <c r="W8" s="16" t="str">
        <f t="shared" ref="W8:W34" si="9">IFERROR((1000-MINUTE(R8-SMALL($R$7:$R$34,1))),"~")</f>
        <v>~</v>
      </c>
      <c r="Y8">
        <v>2</v>
      </c>
      <c r="Z8" t="s">
        <v>20</v>
      </c>
      <c r="AA8" t="s">
        <v>39</v>
      </c>
      <c r="AB8">
        <f>VLOOKUP(AA8,Lookups!$E$2:$F$47,2,FALSE)</f>
        <v>0.9</v>
      </c>
      <c r="AC8" s="30"/>
      <c r="AD8" s="29" t="str">
        <f t="shared" si="5"/>
        <v/>
      </c>
      <c r="AE8" t="str">
        <f>IF(AD8="","",_xlfn.RANK.EQ(AD8,$AD$7:$AD$34,1)+COUNTIF($AD$7:AD8,AD8)-1)</f>
        <v/>
      </c>
      <c r="AF8" s="19" t="str">
        <f t="shared" ref="AF8:AF34" si="10">IFERROR((1000+200*(AVERAGE($AD$7:$AD$34)-AD8)/_xlfn.STDEV.P($F$7:$F$34)),"")</f>
        <v/>
      </c>
      <c r="AG8" s="18" t="str">
        <f t="shared" ref="AG8:AG34" si="11">IFERROR(((1000*SMALL($AD$7:$AD$34,1)/AD8)),"")</f>
        <v/>
      </c>
      <c r="AH8" s="17" t="str">
        <f t="shared" ref="AH8:AH34" si="12">IF(AD8="","",IF(AD8&gt;=2*SMALL($AD$7:$AD$34,1),0,1000-((AD8-SMALL($AD$7:$AD$34,1))/SMALL($AD$7:$AD$34,1)*100)))</f>
        <v/>
      </c>
      <c r="AI8" s="16" t="str">
        <f t="shared" ref="AI8:AI34" si="13">IFERROR((1000-MINUTE(AD8-SMALL($AD$7:$AD$34,1))),"~")</f>
        <v>~</v>
      </c>
      <c r="AJ8" s="31">
        <f t="shared" ref="AJ8:AJ30" si="14">SUM(AG8,U8,I8,)</f>
        <v>1000</v>
      </c>
    </row>
    <row r="9" spans="1:36" x14ac:dyDescent="0.25">
      <c r="A9">
        <v>3</v>
      </c>
      <c r="B9" t="s">
        <v>3</v>
      </c>
      <c r="C9" t="s">
        <v>19</v>
      </c>
      <c r="D9">
        <f>VLOOKUP(C9,Lookups!$E$2:$F$47,2,FALSE)</f>
        <v>0.63</v>
      </c>
      <c r="E9" s="30"/>
      <c r="F9" s="29" t="str">
        <f t="shared" si="0"/>
        <v/>
      </c>
      <c r="G9" t="str">
        <f>IF(F9="","",_xlfn.RANK.EQ(F9,$F$7:$F$34,1)+COUNTIF($F$7:F9,F9)-1)</f>
        <v/>
      </c>
      <c r="H9" s="19" t="str">
        <f t="shared" si="1"/>
        <v/>
      </c>
      <c r="I9" s="18" t="str">
        <f t="shared" ref="I9:I34" si="15">IFERROR(((1000*SMALL($F$7:$F$34,1)/F9)),"")</f>
        <v/>
      </c>
      <c r="J9" s="17" t="str">
        <f t="shared" si="2"/>
        <v/>
      </c>
      <c r="K9" s="16" t="str">
        <f t="shared" si="3"/>
        <v>~</v>
      </c>
      <c r="M9">
        <v>3</v>
      </c>
      <c r="N9" t="s">
        <v>3</v>
      </c>
      <c r="O9" t="s">
        <v>19</v>
      </c>
      <c r="P9">
        <f>VLOOKUP(O9,Lookups!$E$2:$F$47,2,FALSE)</f>
        <v>0.63</v>
      </c>
      <c r="Q9" s="30"/>
      <c r="R9" s="29" t="str">
        <f t="shared" si="4"/>
        <v/>
      </c>
      <c r="S9" t="str">
        <f>IF(R9="","",_xlfn.RANK.EQ(R9,$R$7:$R$34,1)+COUNTIF($R$7:R9,R9)-1)</f>
        <v/>
      </c>
      <c r="T9" s="19" t="str">
        <f t="shared" si="6"/>
        <v/>
      </c>
      <c r="U9" s="18" t="str">
        <f t="shared" si="7"/>
        <v/>
      </c>
      <c r="V9" s="17" t="str">
        <f t="shared" si="8"/>
        <v/>
      </c>
      <c r="W9" s="16" t="str">
        <f t="shared" si="9"/>
        <v>~</v>
      </c>
      <c r="Y9">
        <v>3</v>
      </c>
      <c r="Z9" t="s">
        <v>3</v>
      </c>
      <c r="AA9" t="s">
        <v>19</v>
      </c>
      <c r="AB9">
        <f>VLOOKUP(AA9,Lookups!$E$2:$F$47,2,FALSE)</f>
        <v>0.63</v>
      </c>
      <c r="AC9" s="30"/>
      <c r="AD9" s="29" t="str">
        <f t="shared" si="5"/>
        <v/>
      </c>
      <c r="AE9" t="str">
        <f>IF(AD9="","",_xlfn.RANK.EQ(AD9,$AD$7:$AD$34,1)+COUNTIF($AD$7:AD9,AD9)-1)</f>
        <v/>
      </c>
      <c r="AF9" s="19" t="str">
        <f t="shared" si="10"/>
        <v/>
      </c>
      <c r="AG9" s="18" t="str">
        <f t="shared" si="11"/>
        <v/>
      </c>
      <c r="AH9" s="17" t="str">
        <f t="shared" si="12"/>
        <v/>
      </c>
      <c r="AI9" s="16" t="str">
        <f t="shared" si="13"/>
        <v>~</v>
      </c>
      <c r="AJ9" s="31" t="s">
        <v>134</v>
      </c>
    </row>
    <row r="10" spans="1:36" x14ac:dyDescent="0.25">
      <c r="A10">
        <v>4</v>
      </c>
      <c r="B10" t="s">
        <v>23</v>
      </c>
      <c r="C10" t="s">
        <v>24</v>
      </c>
      <c r="D10">
        <f>VLOOKUP(C10,Lookups!$E$2:$F$47,2,FALSE)</f>
        <v>0.7</v>
      </c>
      <c r="E10" s="30"/>
      <c r="F10" s="29" t="str">
        <f t="shared" si="0"/>
        <v/>
      </c>
      <c r="G10" t="str">
        <f>IF(F10="","",_xlfn.RANK.EQ(F10,$F$7:$F$34,1)+COUNTIF($F$7:F10,F10)-1)</f>
        <v/>
      </c>
      <c r="H10" s="19" t="str">
        <f t="shared" si="1"/>
        <v/>
      </c>
      <c r="I10" s="18" t="str">
        <f t="shared" si="15"/>
        <v/>
      </c>
      <c r="J10" s="17" t="str">
        <f t="shared" si="2"/>
        <v/>
      </c>
      <c r="K10" s="16" t="str">
        <f t="shared" si="3"/>
        <v>~</v>
      </c>
      <c r="M10">
        <v>4</v>
      </c>
      <c r="N10" t="s">
        <v>23</v>
      </c>
      <c r="O10" t="s">
        <v>24</v>
      </c>
      <c r="P10">
        <f>VLOOKUP(O10,Lookups!$E$2:$F$47,2,FALSE)</f>
        <v>0.7</v>
      </c>
      <c r="Q10" s="30"/>
      <c r="R10" s="29" t="str">
        <f t="shared" si="4"/>
        <v/>
      </c>
      <c r="S10" t="str">
        <f>IF(R10="","",_xlfn.RANK.EQ(R10,$R$7:$R$34,1)+COUNTIF($R$7:R10,R10)-1)</f>
        <v/>
      </c>
      <c r="T10" s="19" t="str">
        <f t="shared" si="6"/>
        <v/>
      </c>
      <c r="U10" s="18" t="str">
        <f t="shared" si="7"/>
        <v/>
      </c>
      <c r="V10" s="17" t="str">
        <f t="shared" si="8"/>
        <v/>
      </c>
      <c r="W10" s="16" t="str">
        <f t="shared" si="9"/>
        <v>~</v>
      </c>
      <c r="Y10">
        <v>4</v>
      </c>
      <c r="Z10" t="s">
        <v>23</v>
      </c>
      <c r="AA10" t="s">
        <v>24</v>
      </c>
      <c r="AB10">
        <f>VLOOKUP(AA10,Lookups!$E$2:$F$47,2,FALSE)</f>
        <v>0.7</v>
      </c>
      <c r="AC10" s="30"/>
      <c r="AD10" s="29" t="str">
        <f t="shared" si="5"/>
        <v/>
      </c>
      <c r="AE10" t="str">
        <f>IF(AD10="","",_xlfn.RANK.EQ(AD10,$AD$7:$AD$34,1)+COUNTIF($AD$7:AD10,AD10)-1)</f>
        <v/>
      </c>
      <c r="AF10" s="19" t="str">
        <f t="shared" si="10"/>
        <v/>
      </c>
      <c r="AG10" s="18" t="str">
        <f t="shared" si="11"/>
        <v/>
      </c>
      <c r="AH10" s="17" t="str">
        <f t="shared" si="12"/>
        <v/>
      </c>
      <c r="AI10" s="16" t="str">
        <f t="shared" si="13"/>
        <v>~</v>
      </c>
      <c r="AJ10" s="31" t="s">
        <v>134</v>
      </c>
    </row>
    <row r="11" spans="1:36" x14ac:dyDescent="0.25">
      <c r="A11">
        <v>5</v>
      </c>
      <c r="B11" t="s">
        <v>6</v>
      </c>
      <c r="C11" t="s">
        <v>19</v>
      </c>
      <c r="D11">
        <f>VLOOKUP(C11,Lookups!$E$2:$F$47,2,FALSE)</f>
        <v>0.63</v>
      </c>
      <c r="E11" s="30"/>
      <c r="F11" s="29" t="str">
        <f t="shared" si="0"/>
        <v/>
      </c>
      <c r="G11" t="str">
        <f>IF(F11="","",_xlfn.RANK.EQ(F11,$F$7:$F$34,1)+COUNTIF($F$7:F11,F11)-1)</f>
        <v/>
      </c>
      <c r="H11" s="19" t="str">
        <f t="shared" si="1"/>
        <v/>
      </c>
      <c r="I11" s="18" t="str">
        <f t="shared" si="15"/>
        <v/>
      </c>
      <c r="J11" s="17" t="str">
        <f t="shared" si="2"/>
        <v/>
      </c>
      <c r="K11" s="16" t="str">
        <f t="shared" si="3"/>
        <v>~</v>
      </c>
      <c r="M11">
        <v>5</v>
      </c>
      <c r="N11" t="s">
        <v>6</v>
      </c>
      <c r="O11" t="s">
        <v>19</v>
      </c>
      <c r="P11">
        <f>VLOOKUP(O11,Lookups!$E$2:$F$47,2,FALSE)</f>
        <v>0.63</v>
      </c>
      <c r="Q11" s="30"/>
      <c r="R11" s="29" t="str">
        <f t="shared" si="4"/>
        <v/>
      </c>
      <c r="S11" t="str">
        <f>IF(R11="","",_xlfn.RANK.EQ(R11,$R$7:$R$34,1)+COUNTIF($R$7:R11,R11)-1)</f>
        <v/>
      </c>
      <c r="T11" s="19" t="str">
        <f t="shared" si="6"/>
        <v/>
      </c>
      <c r="U11" s="18" t="str">
        <f t="shared" si="7"/>
        <v/>
      </c>
      <c r="V11" s="17" t="str">
        <f t="shared" si="8"/>
        <v/>
      </c>
      <c r="W11" s="16" t="str">
        <f t="shared" si="9"/>
        <v>~</v>
      </c>
      <c r="Y11">
        <v>5</v>
      </c>
      <c r="Z11" t="s">
        <v>6</v>
      </c>
      <c r="AA11" t="s">
        <v>19</v>
      </c>
      <c r="AB11">
        <f>VLOOKUP(AA11,Lookups!$E$2:$F$47,2,FALSE)</f>
        <v>0.63</v>
      </c>
      <c r="AC11" s="30">
        <v>7.2662037037037039E-2</v>
      </c>
      <c r="AD11" s="29">
        <f t="shared" si="5"/>
        <v>4.5777083333333336E-2</v>
      </c>
      <c r="AE11">
        <f>IF(AD11="","",_xlfn.RANK.EQ(AD11,$AD$7:$AD$34,1)+COUNTIF($AD$7:AD11,AD11)-1)</f>
        <v>3</v>
      </c>
      <c r="AF11" s="19">
        <f t="shared" si="10"/>
        <v>870.90898674032519</v>
      </c>
      <c r="AG11" s="18">
        <f t="shared" si="11"/>
        <v>675.76116142538558</v>
      </c>
      <c r="AH11" s="17">
        <f t="shared" si="12"/>
        <v>952.01872242987508</v>
      </c>
      <c r="AI11" s="16">
        <f t="shared" si="13"/>
        <v>979</v>
      </c>
      <c r="AJ11" s="31">
        <f t="shared" si="14"/>
        <v>675.76116142538558</v>
      </c>
    </row>
    <row r="12" spans="1:36" x14ac:dyDescent="0.25">
      <c r="A12">
        <v>6</v>
      </c>
      <c r="B12" t="s">
        <v>0</v>
      </c>
      <c r="C12" t="s">
        <v>27</v>
      </c>
      <c r="D12">
        <f>VLOOKUP(C12,Lookups!$E$2:$F$47,2,FALSE)</f>
        <v>0.86</v>
      </c>
      <c r="E12" s="30">
        <v>5.7164351851851848E-2</v>
      </c>
      <c r="F12" s="29">
        <f t="shared" si="0"/>
        <v>4.916134259259259E-2</v>
      </c>
      <c r="G12">
        <f>IF(F12="","",_xlfn.RANK.EQ(F12,$F$7:$F$34,1)+COUNTIF($F$7:F12,F12)-1)</f>
        <v>3</v>
      </c>
      <c r="H12" s="19">
        <f t="shared" si="1"/>
        <v>951.97328377073222</v>
      </c>
      <c r="I12" s="18">
        <f t="shared" si="15"/>
        <v>676.34442524378824</v>
      </c>
      <c r="J12" s="17">
        <f t="shared" si="2"/>
        <v>952.14633806739073</v>
      </c>
      <c r="K12" s="16">
        <f t="shared" si="3"/>
        <v>978</v>
      </c>
      <c r="M12">
        <v>6</v>
      </c>
      <c r="N12" t="s">
        <v>0</v>
      </c>
      <c r="O12" t="s">
        <v>27</v>
      </c>
      <c r="P12">
        <f>VLOOKUP(O12,Lookups!$E$2:$F$47,2,FALSE)</f>
        <v>0.86</v>
      </c>
      <c r="Q12" s="30"/>
      <c r="R12" s="29" t="str">
        <f t="shared" si="4"/>
        <v/>
      </c>
      <c r="S12" t="str">
        <f>IF(R12="","",_xlfn.RANK.EQ(R12,$R$7:$R$34,1)+COUNTIF($R$7:R12,R12)-1)</f>
        <v/>
      </c>
      <c r="T12" s="19" t="str">
        <f t="shared" si="6"/>
        <v/>
      </c>
      <c r="U12" s="18" t="str">
        <f t="shared" si="7"/>
        <v/>
      </c>
      <c r="V12" s="17" t="str">
        <f t="shared" si="8"/>
        <v/>
      </c>
      <c r="W12" s="16" t="str">
        <f t="shared" si="9"/>
        <v>~</v>
      </c>
      <c r="Y12">
        <v>6</v>
      </c>
      <c r="Z12" t="s">
        <v>0</v>
      </c>
      <c r="AA12" t="s">
        <v>27</v>
      </c>
      <c r="AB12">
        <f>VLOOKUP(AA12,Lookups!$E$2:$F$47,2,FALSE)</f>
        <v>0.86</v>
      </c>
      <c r="AC12" s="30"/>
      <c r="AD12" s="29" t="str">
        <f t="shared" si="5"/>
        <v/>
      </c>
      <c r="AE12" t="str">
        <f>IF(AD12="","",_xlfn.RANK.EQ(AD12,$AD$7:$AD$34,1)+COUNTIF($AD$7:AD12,AD12)-1)</f>
        <v/>
      </c>
      <c r="AF12" s="19" t="str">
        <f t="shared" si="10"/>
        <v/>
      </c>
      <c r="AG12" s="18" t="str">
        <f t="shared" si="11"/>
        <v/>
      </c>
      <c r="AH12" s="17" t="str">
        <f t="shared" si="12"/>
        <v/>
      </c>
      <c r="AI12" s="16" t="str">
        <f t="shared" si="13"/>
        <v>~</v>
      </c>
      <c r="AJ12" s="31">
        <f t="shared" si="14"/>
        <v>676.34442524378824</v>
      </c>
    </row>
    <row r="13" spans="1:36" x14ac:dyDescent="0.25">
      <c r="A13">
        <v>7</v>
      </c>
      <c r="B13" t="s">
        <v>5</v>
      </c>
      <c r="C13" t="s">
        <v>43</v>
      </c>
      <c r="D13">
        <f>VLOOKUP(C13,Lookups!$E$2:$F$47,2,FALSE)</f>
        <v>0.64</v>
      </c>
      <c r="E13" s="30">
        <v>6.6319444444444445E-2</v>
      </c>
      <c r="F13" s="29">
        <f t="shared" si="0"/>
        <v>4.2444444444444444E-2</v>
      </c>
      <c r="G13">
        <f>IF(F13="","",_xlfn.RANK.EQ(F13,$F$7:$F$34,1)+COUNTIF($F$7:F13,F13)-1)</f>
        <v>2</v>
      </c>
      <c r="H13" s="19">
        <f t="shared" si="1"/>
        <v>1081.0961880189232</v>
      </c>
      <c r="I13" s="18">
        <f t="shared" si="15"/>
        <v>783.37696335078533</v>
      </c>
      <c r="J13" s="17">
        <f t="shared" si="2"/>
        <v>972.3475355054303</v>
      </c>
      <c r="K13" s="16">
        <f t="shared" si="3"/>
        <v>987</v>
      </c>
      <c r="M13">
        <v>7</v>
      </c>
      <c r="N13" t="s">
        <v>5</v>
      </c>
      <c r="O13" t="s">
        <v>43</v>
      </c>
      <c r="P13">
        <f>VLOOKUP(O13,Lookups!$E$2:$F$47,2,FALSE)</f>
        <v>0.64</v>
      </c>
      <c r="Q13" s="30"/>
      <c r="R13" s="29" t="str">
        <f t="shared" si="4"/>
        <v/>
      </c>
      <c r="S13" t="str">
        <f>IF(R13="","",_xlfn.RANK.EQ(R13,$R$7:$R$34,1)+COUNTIF($R$7:R13,R13)-1)</f>
        <v/>
      </c>
      <c r="T13" s="19" t="str">
        <f t="shared" si="6"/>
        <v/>
      </c>
      <c r="U13" s="18" t="str">
        <f t="shared" si="7"/>
        <v/>
      </c>
      <c r="V13" s="17" t="str">
        <f t="shared" si="8"/>
        <v/>
      </c>
      <c r="W13" s="16" t="str">
        <f t="shared" si="9"/>
        <v>~</v>
      </c>
      <c r="Y13">
        <v>7</v>
      </c>
      <c r="Z13" t="s">
        <v>5</v>
      </c>
      <c r="AA13" t="s">
        <v>43</v>
      </c>
      <c r="AB13">
        <f>VLOOKUP(AA13,Lookups!$E$2:$F$47,2,FALSE)</f>
        <v>0.64</v>
      </c>
      <c r="AC13" s="30"/>
      <c r="AD13" s="29" t="str">
        <f t="shared" si="5"/>
        <v/>
      </c>
      <c r="AE13" t="str">
        <f>IF(AD13="","",_xlfn.RANK.EQ(AD13,$AD$7:$AD$34,1)+COUNTIF($AD$7:AD13,AD13)-1)</f>
        <v/>
      </c>
      <c r="AF13" s="19" t="str">
        <f t="shared" si="10"/>
        <v/>
      </c>
      <c r="AG13" s="18" t="str">
        <f t="shared" si="11"/>
        <v/>
      </c>
      <c r="AH13" s="17" t="str">
        <f t="shared" si="12"/>
        <v/>
      </c>
      <c r="AI13" s="16" t="str">
        <f t="shared" si="13"/>
        <v>~</v>
      </c>
      <c r="AJ13" s="31">
        <f t="shared" si="14"/>
        <v>783.37696335078533</v>
      </c>
    </row>
    <row r="14" spans="1:36" x14ac:dyDescent="0.25">
      <c r="A14">
        <v>8</v>
      </c>
      <c r="B14" t="s">
        <v>29</v>
      </c>
      <c r="C14" t="s">
        <v>39</v>
      </c>
      <c r="D14">
        <f>VLOOKUP(C14,Lookups!$E$2:$F$47,2,FALSE)</f>
        <v>0.9</v>
      </c>
      <c r="E14" s="30"/>
      <c r="F14" s="29" t="str">
        <f t="shared" si="0"/>
        <v/>
      </c>
      <c r="G14" t="str">
        <f>IF(F14="","",_xlfn.RANK.EQ(F14,$F$7:$F$34,1)+COUNTIF($F$7:F14,F14)-1)</f>
        <v/>
      </c>
      <c r="H14" s="19" t="str">
        <f t="shared" si="1"/>
        <v/>
      </c>
      <c r="I14" s="18" t="str">
        <f t="shared" si="15"/>
        <v/>
      </c>
      <c r="J14" s="17" t="str">
        <f t="shared" si="2"/>
        <v/>
      </c>
      <c r="K14" s="16" t="str">
        <f t="shared" si="3"/>
        <v>~</v>
      </c>
      <c r="M14">
        <v>8</v>
      </c>
      <c r="N14" t="s">
        <v>29</v>
      </c>
      <c r="O14" t="s">
        <v>39</v>
      </c>
      <c r="P14">
        <f>VLOOKUP(O14,Lookups!$E$2:$F$47,2,FALSE)</f>
        <v>0.9</v>
      </c>
      <c r="Q14" s="30"/>
      <c r="R14" s="29" t="str">
        <f t="shared" si="4"/>
        <v/>
      </c>
      <c r="S14" t="str">
        <f>IF(R14="","",_xlfn.RANK.EQ(R14,$R$7:$R$34,1)+COUNTIF($R$7:R14,R14)-1)</f>
        <v/>
      </c>
      <c r="T14" s="19" t="str">
        <f t="shared" si="6"/>
        <v/>
      </c>
      <c r="U14" s="18" t="str">
        <f t="shared" si="7"/>
        <v/>
      </c>
      <c r="V14" s="17" t="str">
        <f t="shared" si="8"/>
        <v/>
      </c>
      <c r="W14" s="16" t="str">
        <f t="shared" si="9"/>
        <v>~</v>
      </c>
      <c r="Y14">
        <v>8</v>
      </c>
      <c r="Z14" t="s">
        <v>29</v>
      </c>
      <c r="AA14" t="s">
        <v>39</v>
      </c>
      <c r="AB14">
        <f>VLOOKUP(AA14,Lookups!$E$2:$F$47,2,FALSE)</f>
        <v>0.9</v>
      </c>
      <c r="AC14" s="30"/>
      <c r="AD14" s="29" t="str">
        <f t="shared" si="5"/>
        <v/>
      </c>
      <c r="AE14" t="str">
        <f>IF(AD14="","",_xlfn.RANK.EQ(AD14,$AD$7:$AD$34,1)+COUNTIF($AD$7:AD14,AD14)-1)</f>
        <v/>
      </c>
      <c r="AF14" s="19" t="str">
        <f t="shared" si="10"/>
        <v/>
      </c>
      <c r="AG14" s="18" t="str">
        <f t="shared" si="11"/>
        <v/>
      </c>
      <c r="AH14" s="17" t="str">
        <f t="shared" si="12"/>
        <v/>
      </c>
      <c r="AI14" s="16" t="str">
        <f t="shared" si="13"/>
        <v>~</v>
      </c>
      <c r="AJ14" s="31" t="s">
        <v>134</v>
      </c>
    </row>
    <row r="15" spans="1:36" x14ac:dyDescent="0.25">
      <c r="A15">
        <v>9</v>
      </c>
      <c r="B15" t="s">
        <v>30</v>
      </c>
      <c r="C15" t="s">
        <v>21</v>
      </c>
      <c r="D15">
        <f>VLOOKUP(C15,Lookups!$E$2:$F$47,2,FALSE)</f>
        <v>0.84</v>
      </c>
      <c r="E15" s="30"/>
      <c r="F15" s="29" t="str">
        <f t="shared" si="0"/>
        <v/>
      </c>
      <c r="G15" t="str">
        <f>IF(F15="","",_xlfn.RANK.EQ(F15,$F$7:$F$34,1)+COUNTIF($F$7:F15,F15)-1)</f>
        <v/>
      </c>
      <c r="H15" s="19" t="str">
        <f t="shared" si="1"/>
        <v/>
      </c>
      <c r="I15" s="18" t="str">
        <f t="shared" si="15"/>
        <v/>
      </c>
      <c r="J15" s="17" t="str">
        <f t="shared" si="2"/>
        <v/>
      </c>
      <c r="K15" s="16" t="str">
        <f t="shared" si="3"/>
        <v>~</v>
      </c>
      <c r="M15">
        <v>9</v>
      </c>
      <c r="N15" t="s">
        <v>30</v>
      </c>
      <c r="O15" t="s">
        <v>21</v>
      </c>
      <c r="P15">
        <f>VLOOKUP(O15,Lookups!$E$2:$F$47,2,FALSE)</f>
        <v>0.84</v>
      </c>
      <c r="Q15" s="30">
        <v>4.041666666666667E-2</v>
      </c>
      <c r="R15" s="29">
        <f t="shared" si="4"/>
        <v>3.3950000000000001E-2</v>
      </c>
      <c r="S15">
        <f>IF(R15="","",_xlfn.RANK.EQ(R15,$R$7:$R$34,1)+COUNTIF($R$7:R15,R15)-1)</f>
        <v>1</v>
      </c>
      <c r="T15" s="19">
        <f t="shared" si="6"/>
        <v>1248.5418782484439</v>
      </c>
      <c r="U15" s="18">
        <f t="shared" si="7"/>
        <v>1000</v>
      </c>
      <c r="V15" s="17">
        <f t="shared" si="8"/>
        <v>1000</v>
      </c>
      <c r="W15" s="16">
        <f t="shared" si="9"/>
        <v>1000</v>
      </c>
      <c r="Y15">
        <v>9</v>
      </c>
      <c r="Z15" t="s">
        <v>30</v>
      </c>
      <c r="AA15" t="s">
        <v>21</v>
      </c>
      <c r="AB15">
        <f>VLOOKUP(AA15,Lookups!$E$2:$F$47,2,FALSE)</f>
        <v>0.84</v>
      </c>
      <c r="AC15" s="30"/>
      <c r="AD15" s="29" t="str">
        <f t="shared" si="5"/>
        <v/>
      </c>
      <c r="AE15" t="str">
        <f>IF(AD15="","",_xlfn.RANK.EQ(AD15,$AD$7:$AD$34,1)+COUNTIF($AD$7:AD15,AD15)-1)</f>
        <v/>
      </c>
      <c r="AF15" s="19" t="str">
        <f t="shared" si="10"/>
        <v/>
      </c>
      <c r="AG15" s="18" t="str">
        <f t="shared" si="11"/>
        <v/>
      </c>
      <c r="AH15" s="17" t="str">
        <f t="shared" si="12"/>
        <v/>
      </c>
      <c r="AI15" s="16" t="str">
        <f t="shared" si="13"/>
        <v>~</v>
      </c>
      <c r="AJ15" s="31">
        <f t="shared" si="14"/>
        <v>1000</v>
      </c>
    </row>
    <row r="16" spans="1:36" x14ac:dyDescent="0.25">
      <c r="A16">
        <v>10</v>
      </c>
      <c r="B16" t="s">
        <v>25</v>
      </c>
      <c r="C16" t="s">
        <v>26</v>
      </c>
      <c r="D16">
        <f>VLOOKUP(C16,Lookups!$E$2:$F$47,2,FALSE)</f>
        <v>0.67</v>
      </c>
      <c r="E16" s="30"/>
      <c r="F16" s="29" t="str">
        <f t="shared" si="0"/>
        <v/>
      </c>
      <c r="G16" t="str">
        <f>IF(F16="","",_xlfn.RANK.EQ(F16,$F$7:$F$34,1)+COUNTIF($F$7:F16,F16)-1)</f>
        <v/>
      </c>
      <c r="H16" s="19" t="str">
        <f t="shared" si="1"/>
        <v/>
      </c>
      <c r="I16" s="18" t="str">
        <f t="shared" si="15"/>
        <v/>
      </c>
      <c r="J16" s="17" t="str">
        <f t="shared" si="2"/>
        <v/>
      </c>
      <c r="K16" s="16" t="str">
        <f t="shared" si="3"/>
        <v>~</v>
      </c>
      <c r="M16">
        <v>10</v>
      </c>
      <c r="N16" t="s">
        <v>25</v>
      </c>
      <c r="O16" t="s">
        <v>26</v>
      </c>
      <c r="P16">
        <f>VLOOKUP(O16,Lookups!$E$2:$F$47,2,FALSE)</f>
        <v>0.67</v>
      </c>
      <c r="Q16" s="30">
        <v>5.6099537037037038E-2</v>
      </c>
      <c r="R16" s="29">
        <f t="shared" si="4"/>
        <v>3.7586689814814819E-2</v>
      </c>
      <c r="S16">
        <f>IF(R16="","",_xlfn.RANK.EQ(R16,$R$7:$R$34,1)+COUNTIF($R$7:R16,R16)-1)</f>
        <v>2</v>
      </c>
      <c r="T16" s="19">
        <f t="shared" si="6"/>
        <v>1133.7424154423513</v>
      </c>
      <c r="U16" s="18">
        <f t="shared" si="7"/>
        <v>903.24527558206489</v>
      </c>
      <c r="V16" s="17">
        <f t="shared" si="8"/>
        <v>989.28810069273982</v>
      </c>
      <c r="W16" s="16">
        <f t="shared" si="9"/>
        <v>995</v>
      </c>
      <c r="Y16">
        <v>10</v>
      </c>
      <c r="Z16" t="s">
        <v>25</v>
      </c>
      <c r="AA16" t="s">
        <v>26</v>
      </c>
      <c r="AB16">
        <f>VLOOKUP(AA16,Lookups!$E$2:$F$47,2,FALSE)</f>
        <v>0.67</v>
      </c>
      <c r="AC16" s="30"/>
      <c r="AD16" s="29" t="str">
        <f t="shared" si="5"/>
        <v/>
      </c>
      <c r="AE16" t="str">
        <f>IF(AD16="","",_xlfn.RANK.EQ(AD16,$AD$7:$AD$34,1)+COUNTIF($AD$7:AD16,AD16)-1)</f>
        <v/>
      </c>
      <c r="AF16" s="19" t="str">
        <f t="shared" si="10"/>
        <v/>
      </c>
      <c r="AG16" s="18" t="str">
        <f t="shared" si="11"/>
        <v/>
      </c>
      <c r="AH16" s="17" t="str">
        <f t="shared" si="12"/>
        <v/>
      </c>
      <c r="AI16" s="16" t="str">
        <f t="shared" si="13"/>
        <v>~</v>
      </c>
      <c r="AJ16" s="31">
        <f t="shared" si="14"/>
        <v>903.24527558206489</v>
      </c>
    </row>
    <row r="17" spans="1:36" x14ac:dyDescent="0.25">
      <c r="A17">
        <v>11</v>
      </c>
      <c r="B17" t="s">
        <v>105</v>
      </c>
      <c r="C17" t="s">
        <v>39</v>
      </c>
      <c r="D17">
        <f>VLOOKUP(C17,Lookups!$E$2:$F$47,2,FALSE)</f>
        <v>0.9</v>
      </c>
      <c r="E17" s="30"/>
      <c r="F17" s="29" t="str">
        <f t="shared" si="0"/>
        <v/>
      </c>
      <c r="G17" t="str">
        <f>IF(F17="","",_xlfn.RANK.EQ(F17,$F$7:$F$34,1)+COUNTIF($F$7:F17,F17)-1)</f>
        <v/>
      </c>
      <c r="H17" s="19" t="str">
        <f t="shared" si="1"/>
        <v/>
      </c>
      <c r="I17" s="18" t="str">
        <f t="shared" si="15"/>
        <v/>
      </c>
      <c r="J17" s="17" t="str">
        <f t="shared" si="2"/>
        <v/>
      </c>
      <c r="K17" s="16" t="str">
        <f t="shared" si="3"/>
        <v>~</v>
      </c>
      <c r="M17">
        <v>11</v>
      </c>
      <c r="N17" t="s">
        <v>105</v>
      </c>
      <c r="O17" t="s">
        <v>39</v>
      </c>
      <c r="P17">
        <f>VLOOKUP(O17,Lookups!$E$2:$F$47,2,FALSE)</f>
        <v>0.9</v>
      </c>
      <c r="Q17" s="30"/>
      <c r="R17" s="29" t="str">
        <f t="shared" si="4"/>
        <v/>
      </c>
      <c r="S17" t="str">
        <f>IF(R17="","",_xlfn.RANK.EQ(R17,$R$7:$R$34,1)+COUNTIF($R$7:R17,R17)-1)</f>
        <v/>
      </c>
      <c r="T17" s="19" t="str">
        <f t="shared" si="6"/>
        <v/>
      </c>
      <c r="U17" s="18" t="str">
        <f t="shared" si="7"/>
        <v/>
      </c>
      <c r="V17" s="17" t="str">
        <f t="shared" si="8"/>
        <v/>
      </c>
      <c r="W17" s="16" t="str">
        <f t="shared" si="9"/>
        <v>~</v>
      </c>
      <c r="Y17">
        <v>11</v>
      </c>
      <c r="Z17" t="s">
        <v>105</v>
      </c>
      <c r="AA17" t="s">
        <v>39</v>
      </c>
      <c r="AB17">
        <f>VLOOKUP(AA17,Lookups!$E$2:$F$47,2,FALSE)</f>
        <v>0.9</v>
      </c>
      <c r="AC17" s="30"/>
      <c r="AD17" s="29" t="str">
        <f t="shared" si="5"/>
        <v/>
      </c>
      <c r="AE17" t="str">
        <f>IF(AD17="","",_xlfn.RANK.EQ(AD17,$AD$7:$AD$34,1)+COUNTIF($AD$7:AD17,AD17)-1)</f>
        <v/>
      </c>
      <c r="AF17" s="19" t="str">
        <f t="shared" si="10"/>
        <v/>
      </c>
      <c r="AG17" s="18" t="str">
        <f t="shared" si="11"/>
        <v/>
      </c>
      <c r="AH17" s="17" t="str">
        <f t="shared" si="12"/>
        <v/>
      </c>
      <c r="AI17" s="16" t="str">
        <f t="shared" si="13"/>
        <v>~</v>
      </c>
      <c r="AJ17" s="31" t="s">
        <v>134</v>
      </c>
    </row>
    <row r="18" spans="1:36" x14ac:dyDescent="0.25">
      <c r="A18">
        <v>12</v>
      </c>
      <c r="B18" t="s">
        <v>32</v>
      </c>
      <c r="C18" t="s">
        <v>27</v>
      </c>
      <c r="D18">
        <f>VLOOKUP(C18,Lookups!$E$2:$F$47,2,FALSE)</f>
        <v>0.86</v>
      </c>
      <c r="E18" s="30"/>
      <c r="F18" s="29" t="str">
        <f t="shared" si="0"/>
        <v/>
      </c>
      <c r="G18" t="str">
        <f>IF(F18="","",_xlfn.RANK.EQ(F18,$F$7:$F$34,1)+COUNTIF($F$7:F18,F18)-1)</f>
        <v/>
      </c>
      <c r="H18" s="19" t="str">
        <f t="shared" si="1"/>
        <v/>
      </c>
      <c r="I18" s="18" t="str">
        <f t="shared" si="15"/>
        <v/>
      </c>
      <c r="J18" s="17" t="str">
        <f t="shared" si="2"/>
        <v/>
      </c>
      <c r="K18" s="16" t="str">
        <f t="shared" si="3"/>
        <v>~</v>
      </c>
      <c r="M18">
        <v>12</v>
      </c>
      <c r="N18" t="s">
        <v>32</v>
      </c>
      <c r="O18" t="s">
        <v>27</v>
      </c>
      <c r="P18">
        <f>VLOOKUP(O18,Lookups!$E$2:$F$47,2,FALSE)</f>
        <v>0.86</v>
      </c>
      <c r="Q18" s="30"/>
      <c r="R18" s="29" t="str">
        <f t="shared" si="4"/>
        <v/>
      </c>
      <c r="S18" t="str">
        <f>IF(R18="","",_xlfn.RANK.EQ(R18,$R$7:$R$34,1)+COUNTIF($R$7:R18,R18)-1)</f>
        <v/>
      </c>
      <c r="T18" s="19" t="str">
        <f t="shared" si="6"/>
        <v/>
      </c>
      <c r="U18" s="18" t="str">
        <f t="shared" si="7"/>
        <v/>
      </c>
      <c r="V18" s="17" t="str">
        <f t="shared" si="8"/>
        <v/>
      </c>
      <c r="W18" s="16" t="str">
        <f t="shared" si="9"/>
        <v>~</v>
      </c>
      <c r="Y18">
        <v>12</v>
      </c>
      <c r="Z18" t="s">
        <v>32</v>
      </c>
      <c r="AA18" t="s">
        <v>27</v>
      </c>
      <c r="AB18">
        <f>VLOOKUP(AA18,Lookups!$E$2:$F$47,2,FALSE)</f>
        <v>0.86</v>
      </c>
      <c r="AC18" s="30"/>
      <c r="AD18" s="29" t="str">
        <f t="shared" si="5"/>
        <v/>
      </c>
      <c r="AE18" t="str">
        <f>IF(AD18="","",_xlfn.RANK.EQ(AD18,$AD$7:$AD$34,1)+COUNTIF($AD$7:AD18,AD18)-1)</f>
        <v/>
      </c>
      <c r="AF18" s="19" t="str">
        <f t="shared" si="10"/>
        <v/>
      </c>
      <c r="AG18" s="18" t="str">
        <f t="shared" si="11"/>
        <v/>
      </c>
      <c r="AH18" s="17" t="str">
        <f t="shared" si="12"/>
        <v/>
      </c>
      <c r="AI18" s="16" t="str">
        <f t="shared" si="13"/>
        <v>~</v>
      </c>
      <c r="AJ18" s="31" t="s">
        <v>134</v>
      </c>
    </row>
    <row r="19" spans="1:36" x14ac:dyDescent="0.25">
      <c r="B19" t="s">
        <v>102</v>
      </c>
      <c r="C19" t="s">
        <v>103</v>
      </c>
      <c r="E19" s="30"/>
      <c r="F19" s="29"/>
      <c r="H19" s="19"/>
      <c r="I19" s="18"/>
      <c r="J19" s="17"/>
      <c r="K19" s="16"/>
      <c r="Q19" s="30"/>
      <c r="R19" s="29"/>
      <c r="T19" s="19"/>
      <c r="U19" s="18"/>
      <c r="V19" s="17"/>
      <c r="W19" s="16"/>
      <c r="Z19" t="s">
        <v>102</v>
      </c>
      <c r="AA19" t="s">
        <v>103</v>
      </c>
      <c r="AC19" s="30"/>
      <c r="AD19" s="29"/>
      <c r="AF19" s="19"/>
      <c r="AG19" s="18"/>
      <c r="AH19" s="17"/>
      <c r="AI19" s="16"/>
      <c r="AJ19" s="33" t="s">
        <v>158</v>
      </c>
    </row>
    <row r="20" spans="1:36" x14ac:dyDescent="0.25">
      <c r="A20">
        <v>13</v>
      </c>
      <c r="B20" t="s">
        <v>33</v>
      </c>
      <c r="C20" t="s">
        <v>34</v>
      </c>
      <c r="D20">
        <f>VLOOKUP(C20,Lookups!$E$2:$F$47,2,FALSE)</f>
        <v>0.8</v>
      </c>
      <c r="E20" s="30"/>
      <c r="F20" s="29" t="str">
        <f t="shared" si="0"/>
        <v/>
      </c>
      <c r="G20" t="str">
        <f>IF(F20="","",_xlfn.RANK.EQ(F20,$F$7:$F$34,1)+COUNTIF($F$7:F20,F20)-1)</f>
        <v/>
      </c>
      <c r="H20" s="19" t="str">
        <f t="shared" si="1"/>
        <v/>
      </c>
      <c r="I20" s="18" t="str">
        <f t="shared" si="15"/>
        <v/>
      </c>
      <c r="J20" s="17" t="str">
        <f t="shared" si="2"/>
        <v/>
      </c>
      <c r="K20" s="16" t="str">
        <f t="shared" si="3"/>
        <v>~</v>
      </c>
      <c r="M20">
        <v>13</v>
      </c>
      <c r="N20" t="s">
        <v>33</v>
      </c>
      <c r="O20" t="s">
        <v>34</v>
      </c>
      <c r="P20">
        <f>VLOOKUP(O20,Lookups!$E$2:$F$47,2,FALSE)</f>
        <v>0.8</v>
      </c>
      <c r="Q20" s="30"/>
      <c r="R20" s="29" t="str">
        <f t="shared" si="4"/>
        <v/>
      </c>
      <c r="S20" t="str">
        <f>IF(R20="","",_xlfn.RANK.EQ(R20,$R$7:$R$34,1)+COUNTIF($R$7:R20,R20)-1)</f>
        <v/>
      </c>
      <c r="T20" s="19" t="str">
        <f t="shared" si="6"/>
        <v/>
      </c>
      <c r="U20" s="18" t="str">
        <f t="shared" si="7"/>
        <v/>
      </c>
      <c r="V20" s="17" t="str">
        <f t="shared" si="8"/>
        <v/>
      </c>
      <c r="W20" s="16" t="str">
        <f t="shared" si="9"/>
        <v>~</v>
      </c>
      <c r="Y20">
        <v>13</v>
      </c>
      <c r="Z20" t="s">
        <v>33</v>
      </c>
      <c r="AA20" t="s">
        <v>34</v>
      </c>
      <c r="AB20">
        <f>VLOOKUP(AA20,Lookups!$E$2:$F$47,2,FALSE)</f>
        <v>0.8</v>
      </c>
      <c r="AC20" s="30"/>
      <c r="AD20" s="29" t="str">
        <f t="shared" si="5"/>
        <v/>
      </c>
      <c r="AE20" t="str">
        <f>IF(AD20="","",_xlfn.RANK.EQ(AD20,$AD$7:$AD$34,1)+COUNTIF($AD$7:AD20,AD20)-1)</f>
        <v/>
      </c>
      <c r="AF20" s="19" t="str">
        <f t="shared" si="10"/>
        <v/>
      </c>
      <c r="AG20" s="18" t="str">
        <f t="shared" si="11"/>
        <v/>
      </c>
      <c r="AH20" s="17" t="str">
        <f t="shared" si="12"/>
        <v/>
      </c>
      <c r="AI20" s="16" t="str">
        <f t="shared" si="13"/>
        <v>~</v>
      </c>
      <c r="AJ20" s="31" t="s">
        <v>134</v>
      </c>
    </row>
    <row r="21" spans="1:36" x14ac:dyDescent="0.25">
      <c r="A21">
        <v>14</v>
      </c>
      <c r="B21" t="s">
        <v>35</v>
      </c>
      <c r="C21" t="s">
        <v>31</v>
      </c>
      <c r="D21">
        <f>VLOOKUP(C21,Lookups!$E$2:$F$47,2,FALSE)</f>
        <v>0.82</v>
      </c>
      <c r="E21" s="30"/>
      <c r="F21" s="29" t="str">
        <f t="shared" si="0"/>
        <v/>
      </c>
      <c r="G21" t="str">
        <f>IF(F21="","",_xlfn.RANK.EQ(F21,$F$7:$F$34,1)+COUNTIF($F$7:F21,F21)-1)</f>
        <v/>
      </c>
      <c r="H21" s="19" t="str">
        <f t="shared" si="1"/>
        <v/>
      </c>
      <c r="I21" s="18" t="str">
        <f t="shared" si="15"/>
        <v/>
      </c>
      <c r="J21" s="17" t="str">
        <f t="shared" si="2"/>
        <v/>
      </c>
      <c r="K21" s="16" t="str">
        <f t="shared" si="3"/>
        <v>~</v>
      </c>
      <c r="M21">
        <v>14</v>
      </c>
      <c r="N21" t="s">
        <v>35</v>
      </c>
      <c r="O21" t="s">
        <v>31</v>
      </c>
      <c r="P21">
        <f>VLOOKUP(O21,Lookups!$E$2:$F$47,2,FALSE)</f>
        <v>0.82</v>
      </c>
      <c r="Q21" s="30">
        <v>6.0717592592592594E-2</v>
      </c>
      <c r="R21" s="29">
        <f t="shared" si="4"/>
        <v>4.9788425925925923E-2</v>
      </c>
      <c r="S21">
        <f>IF(R21="","",_xlfn.RANK.EQ(R21,$R$7:$R$34,1)+COUNTIF($R$7:R21,R21)-1)</f>
        <v>4</v>
      </c>
      <c r="T21" s="19">
        <f t="shared" si="6"/>
        <v>748.569958569346</v>
      </c>
      <c r="U21" s="18">
        <f t="shared" si="7"/>
        <v>681.88538538073146</v>
      </c>
      <c r="V21" s="17">
        <f t="shared" si="8"/>
        <v>953.34778814160256</v>
      </c>
      <c r="W21" s="16">
        <f t="shared" si="9"/>
        <v>978</v>
      </c>
      <c r="Y21">
        <v>14</v>
      </c>
      <c r="Z21" t="s">
        <v>35</v>
      </c>
      <c r="AA21" t="s">
        <v>31</v>
      </c>
      <c r="AB21">
        <f>VLOOKUP(AA21,Lookups!$E$2:$F$47,2,FALSE)</f>
        <v>0.82</v>
      </c>
      <c r="AC21" s="30"/>
      <c r="AD21" s="29" t="str">
        <f t="shared" si="5"/>
        <v/>
      </c>
      <c r="AE21" t="str">
        <f>IF(AD21="","",_xlfn.RANK.EQ(AD21,$AD$7:$AD$34,1)+COUNTIF($AD$7:AD21,AD21)-1)</f>
        <v/>
      </c>
      <c r="AF21" s="19" t="str">
        <f t="shared" si="10"/>
        <v/>
      </c>
      <c r="AG21" s="18" t="str">
        <f t="shared" si="11"/>
        <v/>
      </c>
      <c r="AH21" s="17" t="str">
        <f t="shared" si="12"/>
        <v/>
      </c>
      <c r="AI21" s="16" t="str">
        <f t="shared" si="13"/>
        <v>~</v>
      </c>
      <c r="AJ21" s="31">
        <f t="shared" si="14"/>
        <v>681.88538538073146</v>
      </c>
    </row>
    <row r="22" spans="1:36" x14ac:dyDescent="0.25">
      <c r="A22">
        <v>15</v>
      </c>
      <c r="B22" t="s">
        <v>37</v>
      </c>
      <c r="C22" t="s">
        <v>27</v>
      </c>
      <c r="D22">
        <f>VLOOKUP(C22,Lookups!$E$2:$F$47,2,FALSE)</f>
        <v>0.86</v>
      </c>
      <c r="E22" s="30"/>
      <c r="F22" s="29" t="str">
        <f t="shared" si="0"/>
        <v/>
      </c>
      <c r="G22" t="str">
        <f>IF(F22="","",_xlfn.RANK.EQ(F22,$F$7:$F$34,1)+COUNTIF($F$7:F22,F22)-1)</f>
        <v/>
      </c>
      <c r="H22" s="19" t="str">
        <f t="shared" si="1"/>
        <v/>
      </c>
      <c r="I22" s="18" t="str">
        <f t="shared" si="15"/>
        <v/>
      </c>
      <c r="J22" s="17" t="str">
        <f t="shared" si="2"/>
        <v/>
      </c>
      <c r="K22" s="16" t="str">
        <f t="shared" si="3"/>
        <v>~</v>
      </c>
      <c r="M22">
        <v>15</v>
      </c>
      <c r="N22" t="s">
        <v>37</v>
      </c>
      <c r="O22" t="s">
        <v>27</v>
      </c>
      <c r="P22">
        <f>VLOOKUP(O22,Lookups!$E$2:$F$47,2,FALSE)</f>
        <v>0.86</v>
      </c>
      <c r="Q22" s="30"/>
      <c r="R22" s="29" t="str">
        <f t="shared" si="4"/>
        <v/>
      </c>
      <c r="S22" t="str">
        <f>IF(R22="","",_xlfn.RANK.EQ(R22,$R$7:$R$34,1)+COUNTIF($R$7:R22,R22)-1)</f>
        <v/>
      </c>
      <c r="T22" s="19" t="str">
        <f t="shared" si="6"/>
        <v/>
      </c>
      <c r="U22" s="18" t="str">
        <f t="shared" si="7"/>
        <v/>
      </c>
      <c r="V22" s="17" t="str">
        <f t="shared" si="8"/>
        <v/>
      </c>
      <c r="W22" s="16" t="str">
        <f t="shared" si="9"/>
        <v>~</v>
      </c>
      <c r="Y22">
        <v>15</v>
      </c>
      <c r="Z22" t="s">
        <v>37</v>
      </c>
      <c r="AA22" t="s">
        <v>27</v>
      </c>
      <c r="AB22">
        <f>VLOOKUP(AA22,Lookups!$E$2:$F$47,2,FALSE)</f>
        <v>0.86</v>
      </c>
      <c r="AC22" s="30"/>
      <c r="AD22" s="29" t="str">
        <f t="shared" si="5"/>
        <v/>
      </c>
      <c r="AE22" t="str">
        <f>IF(AD22="","",_xlfn.RANK.EQ(AD22,$AD$7:$AD$34,1)+COUNTIF($AD$7:AD22,AD22)-1)</f>
        <v/>
      </c>
      <c r="AF22" s="19" t="str">
        <f t="shared" si="10"/>
        <v/>
      </c>
      <c r="AG22" s="18" t="str">
        <f t="shared" si="11"/>
        <v/>
      </c>
      <c r="AH22" s="17" t="str">
        <f t="shared" si="12"/>
        <v/>
      </c>
      <c r="AI22" s="16" t="str">
        <f t="shared" si="13"/>
        <v>~</v>
      </c>
      <c r="AJ22" s="31" t="s">
        <v>134</v>
      </c>
    </row>
    <row r="23" spans="1:36" x14ac:dyDescent="0.25">
      <c r="A23">
        <v>16</v>
      </c>
      <c r="B23" t="s">
        <v>38</v>
      </c>
      <c r="C23" t="s">
        <v>39</v>
      </c>
      <c r="D23">
        <f>VLOOKUP(C23,Lookups!$E$2:$F$47,2,FALSE)</f>
        <v>0.9</v>
      </c>
      <c r="E23" s="30"/>
      <c r="F23" s="29" t="str">
        <f t="shared" si="0"/>
        <v/>
      </c>
      <c r="G23" t="str">
        <f>IF(F23="","",_xlfn.RANK.EQ(F23,$F$7:$F$34,1)+COUNTIF($F$7:F23,F23)-1)</f>
        <v/>
      </c>
      <c r="H23" s="19" t="str">
        <f t="shared" si="1"/>
        <v/>
      </c>
      <c r="I23" s="18" t="str">
        <f t="shared" si="15"/>
        <v/>
      </c>
      <c r="J23" s="17" t="str">
        <f t="shared" si="2"/>
        <v/>
      </c>
      <c r="K23" s="16" t="str">
        <f t="shared" si="3"/>
        <v>~</v>
      </c>
      <c r="M23">
        <v>16</v>
      </c>
      <c r="N23" t="s">
        <v>38</v>
      </c>
      <c r="O23" t="s">
        <v>39</v>
      </c>
      <c r="P23">
        <f>VLOOKUP(O23,Lookups!$E$2:$F$47,2,FALSE)</f>
        <v>0.9</v>
      </c>
      <c r="Q23" s="30">
        <v>5.1076388888888886E-2</v>
      </c>
      <c r="R23" s="29">
        <f t="shared" si="4"/>
        <v>4.5968749999999996E-2</v>
      </c>
      <c r="S23">
        <f>IF(R23="","",_xlfn.RANK.EQ(R23,$R$7:$R$34,1)+COUNTIF($R$7:R23,R23)-1)</f>
        <v>3</v>
      </c>
      <c r="T23" s="19">
        <f t="shared" si="6"/>
        <v>869.14574773985851</v>
      </c>
      <c r="U23" s="18">
        <f t="shared" si="7"/>
        <v>738.54520734194443</v>
      </c>
      <c r="V23" s="17">
        <f t="shared" si="8"/>
        <v>964.59867452135495</v>
      </c>
      <c r="W23" s="16">
        <f t="shared" si="9"/>
        <v>983</v>
      </c>
      <c r="Y23">
        <v>16</v>
      </c>
      <c r="Z23" t="s">
        <v>38</v>
      </c>
      <c r="AA23" t="s">
        <v>39</v>
      </c>
      <c r="AB23">
        <f>VLOOKUP(AA23,Lookups!$E$2:$F$47,2,FALSE)</f>
        <v>0.9</v>
      </c>
      <c r="AC23" s="30"/>
      <c r="AD23" s="29" t="str">
        <f t="shared" si="5"/>
        <v/>
      </c>
      <c r="AE23" t="str">
        <f>IF(AD23="","",_xlfn.RANK.EQ(AD23,$AD$7:$AD$34,1)+COUNTIF($AD$7:AD23,AD23)-1)</f>
        <v/>
      </c>
      <c r="AF23" s="19" t="str">
        <f t="shared" si="10"/>
        <v/>
      </c>
      <c r="AG23" s="18" t="str">
        <f t="shared" si="11"/>
        <v/>
      </c>
      <c r="AH23" s="17" t="str">
        <f t="shared" si="12"/>
        <v/>
      </c>
      <c r="AI23" s="16" t="str">
        <f t="shared" si="13"/>
        <v>~</v>
      </c>
      <c r="AJ23" s="31">
        <f t="shared" si="14"/>
        <v>738.54520734194443</v>
      </c>
    </row>
    <row r="24" spans="1:36" x14ac:dyDescent="0.25">
      <c r="A24">
        <v>17</v>
      </c>
      <c r="B24" t="s">
        <v>1</v>
      </c>
      <c r="C24" t="s">
        <v>36</v>
      </c>
      <c r="D24">
        <f>VLOOKUP(C24,Lookups!$E$2:$F$47,2,FALSE)</f>
        <v>0.56999999999999995</v>
      </c>
      <c r="E24" s="30"/>
      <c r="F24" s="29" t="str">
        <f t="shared" si="0"/>
        <v/>
      </c>
      <c r="G24" t="str">
        <f>IF(F24="","",_xlfn.RANK.EQ(F24,$F$7:$F$34,1)+COUNTIF($F$7:F24,F24)-1)</f>
        <v/>
      </c>
      <c r="H24" s="19" t="str">
        <f t="shared" si="1"/>
        <v/>
      </c>
      <c r="I24" s="18" t="str">
        <f t="shared" si="15"/>
        <v/>
      </c>
      <c r="J24" s="17" t="str">
        <f t="shared" si="2"/>
        <v/>
      </c>
      <c r="K24" s="16" t="str">
        <f t="shared" si="3"/>
        <v>~</v>
      </c>
      <c r="M24">
        <v>17</v>
      </c>
      <c r="N24" t="s">
        <v>1</v>
      </c>
      <c r="O24" t="s">
        <v>36</v>
      </c>
      <c r="P24">
        <f>VLOOKUP(O24,Lookups!$E$2:$F$47,2,FALSE)</f>
        <v>0.56999999999999995</v>
      </c>
      <c r="Q24" s="30"/>
      <c r="R24" s="29" t="str">
        <f t="shared" si="4"/>
        <v/>
      </c>
      <c r="S24" t="str">
        <f>IF(R24="","",_xlfn.RANK.EQ(R24,$R$7:$R$34,1)+COUNTIF($R$7:R24,R24)-1)</f>
        <v/>
      </c>
      <c r="T24" s="19" t="str">
        <f t="shared" si="6"/>
        <v/>
      </c>
      <c r="U24" s="18" t="str">
        <f t="shared" si="7"/>
        <v/>
      </c>
      <c r="V24" s="17" t="str">
        <f t="shared" si="8"/>
        <v/>
      </c>
      <c r="W24" s="16" t="str">
        <f t="shared" si="9"/>
        <v>~</v>
      </c>
      <c r="Y24">
        <v>17</v>
      </c>
      <c r="Z24" t="s">
        <v>1</v>
      </c>
      <c r="AA24" t="s">
        <v>36</v>
      </c>
      <c r="AB24">
        <f>VLOOKUP(AA24,Lookups!$E$2:$F$47,2,FALSE)</f>
        <v>0.56999999999999995</v>
      </c>
      <c r="AC24" s="30">
        <v>5.4270833333333331E-2</v>
      </c>
      <c r="AD24" s="29">
        <f t="shared" si="5"/>
        <v>3.0934374999999997E-2</v>
      </c>
      <c r="AE24">
        <f>IF(AD24="","",_xlfn.RANK.EQ(AD24,$AD$7:$AD$34,1)+COUNTIF($AD$7:AD24,AD24)-1)</f>
        <v>1</v>
      </c>
      <c r="AF24" s="19">
        <f t="shared" si="10"/>
        <v>1156.2391442978305</v>
      </c>
      <c r="AG24" s="18">
        <f t="shared" si="11"/>
        <v>1000</v>
      </c>
      <c r="AH24" s="17">
        <f t="shared" si="12"/>
        <v>1000</v>
      </c>
      <c r="AI24" s="16">
        <f t="shared" si="13"/>
        <v>1000</v>
      </c>
      <c r="AJ24" s="31">
        <f t="shared" si="14"/>
        <v>1000</v>
      </c>
    </row>
    <row r="25" spans="1:36" x14ac:dyDescent="0.25">
      <c r="A25">
        <v>18</v>
      </c>
      <c r="B25" t="s">
        <v>40</v>
      </c>
      <c r="C25" t="s">
        <v>17</v>
      </c>
      <c r="D25">
        <f>VLOOKUP(C25,Lookups!$E$2:$F$47,2,FALSE)</f>
        <v>0.7</v>
      </c>
      <c r="E25" s="30"/>
      <c r="F25" s="29" t="str">
        <f t="shared" si="0"/>
        <v/>
      </c>
      <c r="G25" t="str">
        <f>IF(F25="","",_xlfn.RANK.EQ(F25,$F$7:$F$34,1)+COUNTIF($F$7:F25,F25)-1)</f>
        <v/>
      </c>
      <c r="H25" s="19" t="str">
        <f t="shared" si="1"/>
        <v/>
      </c>
      <c r="I25" s="18" t="str">
        <f t="shared" si="15"/>
        <v/>
      </c>
      <c r="J25" s="17" t="str">
        <f t="shared" si="2"/>
        <v/>
      </c>
      <c r="K25" s="16" t="str">
        <f t="shared" si="3"/>
        <v>~</v>
      </c>
      <c r="M25">
        <v>18</v>
      </c>
      <c r="N25" t="s">
        <v>40</v>
      </c>
      <c r="O25" t="s">
        <v>17</v>
      </c>
      <c r="P25">
        <f>VLOOKUP(O25,Lookups!$E$2:$F$47,2,FALSE)</f>
        <v>0.7</v>
      </c>
      <c r="Q25" s="30"/>
      <c r="R25" s="29" t="str">
        <f t="shared" si="4"/>
        <v/>
      </c>
      <c r="S25" t="str">
        <f>IF(R25="","",_xlfn.RANK.EQ(R25,$R$7:$R$34,1)+COUNTIF($R$7:R25,R25)-1)</f>
        <v/>
      </c>
      <c r="T25" s="19" t="str">
        <f t="shared" si="6"/>
        <v/>
      </c>
      <c r="U25" s="18" t="str">
        <f t="shared" si="7"/>
        <v/>
      </c>
      <c r="V25" s="17" t="str">
        <f t="shared" si="8"/>
        <v/>
      </c>
      <c r="W25" s="16" t="str">
        <f t="shared" si="9"/>
        <v>~</v>
      </c>
      <c r="Y25">
        <v>18</v>
      </c>
      <c r="Z25" t="s">
        <v>40</v>
      </c>
      <c r="AA25" t="s">
        <v>17</v>
      </c>
      <c r="AB25">
        <f>VLOOKUP(AA25,Lookups!$E$2:$F$47,2,FALSE)</f>
        <v>0.7</v>
      </c>
      <c r="AC25" s="30"/>
      <c r="AD25" s="29" t="str">
        <f t="shared" si="5"/>
        <v/>
      </c>
      <c r="AE25" t="str">
        <f>IF(AD25="","",_xlfn.RANK.EQ(AD25,$AD$7:$AD$34,1)+COUNTIF($AD$7:AD25,AD25)-1)</f>
        <v/>
      </c>
      <c r="AF25" s="19" t="str">
        <f t="shared" si="10"/>
        <v/>
      </c>
      <c r="AG25" s="18" t="str">
        <f t="shared" si="11"/>
        <v/>
      </c>
      <c r="AH25" s="17" t="str">
        <f t="shared" si="12"/>
        <v/>
      </c>
      <c r="AI25" s="16" t="str">
        <f t="shared" si="13"/>
        <v>~</v>
      </c>
      <c r="AJ25" s="31" t="s">
        <v>134</v>
      </c>
    </row>
    <row r="26" spans="1:36" x14ac:dyDescent="0.25">
      <c r="A26">
        <v>19</v>
      </c>
      <c r="B26" t="s">
        <v>41</v>
      </c>
      <c r="C26" t="s">
        <v>17</v>
      </c>
      <c r="D26">
        <f>VLOOKUP(C26,Lookups!$E$2:$F$47,2,FALSE)</f>
        <v>0.7</v>
      </c>
      <c r="E26" s="30"/>
      <c r="F26" s="29" t="str">
        <f t="shared" si="0"/>
        <v/>
      </c>
      <c r="G26" t="str">
        <f>IF(F26="","",_xlfn.RANK.EQ(F26,$F$7:$F$34,1)+COUNTIF($F$7:F26,F26)-1)</f>
        <v/>
      </c>
      <c r="H26" s="19" t="str">
        <f t="shared" si="1"/>
        <v/>
      </c>
      <c r="I26" s="18" t="str">
        <f t="shared" si="15"/>
        <v/>
      </c>
      <c r="J26" s="17" t="str">
        <f t="shared" si="2"/>
        <v/>
      </c>
      <c r="K26" s="16" t="str">
        <f t="shared" si="3"/>
        <v>~</v>
      </c>
      <c r="M26">
        <v>19</v>
      </c>
      <c r="N26" t="s">
        <v>41</v>
      </c>
      <c r="O26" t="s">
        <v>17</v>
      </c>
      <c r="P26">
        <f>VLOOKUP(O26,Lookups!$E$2:$F$47,2,FALSE)</f>
        <v>0.7</v>
      </c>
      <c r="Q26" s="30"/>
      <c r="R26" s="29" t="str">
        <f t="shared" si="4"/>
        <v/>
      </c>
      <c r="S26" t="str">
        <f>IF(R26="","",_xlfn.RANK.EQ(R26,$R$7:$R$34,1)+COUNTIF($R$7:R26,R26)-1)</f>
        <v/>
      </c>
      <c r="T26" s="19" t="str">
        <f t="shared" si="6"/>
        <v/>
      </c>
      <c r="U26" s="18" t="str">
        <f t="shared" si="7"/>
        <v/>
      </c>
      <c r="V26" s="17" t="str">
        <f t="shared" si="8"/>
        <v/>
      </c>
      <c r="W26" s="16" t="str">
        <f t="shared" si="9"/>
        <v>~</v>
      </c>
      <c r="Y26">
        <v>19</v>
      </c>
      <c r="Z26" t="s">
        <v>41</v>
      </c>
      <c r="AA26" t="s">
        <v>17</v>
      </c>
      <c r="AB26">
        <f>VLOOKUP(AA26,Lookups!$E$2:$F$47,2,FALSE)</f>
        <v>0.7</v>
      </c>
      <c r="AC26" s="30"/>
      <c r="AD26" s="29" t="str">
        <f t="shared" si="5"/>
        <v/>
      </c>
      <c r="AE26" t="str">
        <f>IF(AD26="","",_xlfn.RANK.EQ(AD26,$AD$7:$AD$34,1)+COUNTIF($AD$7:AD26,AD26)-1)</f>
        <v/>
      </c>
      <c r="AF26" s="19" t="str">
        <f t="shared" si="10"/>
        <v/>
      </c>
      <c r="AG26" s="18" t="str">
        <f t="shared" si="11"/>
        <v/>
      </c>
      <c r="AH26" s="17" t="str">
        <f t="shared" si="12"/>
        <v/>
      </c>
      <c r="AI26" s="16" t="str">
        <f t="shared" si="13"/>
        <v>~</v>
      </c>
      <c r="AJ26" s="31" t="s">
        <v>134</v>
      </c>
    </row>
    <row r="27" spans="1:36" x14ac:dyDescent="0.25">
      <c r="A27">
        <v>20</v>
      </c>
      <c r="B27" t="s">
        <v>44</v>
      </c>
      <c r="C27" t="s">
        <v>45</v>
      </c>
      <c r="D27">
        <f>VLOOKUP(C27,Lookups!$E$2:$F$47,2,FALSE)</f>
        <v>0.67</v>
      </c>
      <c r="E27" s="30"/>
      <c r="F27" s="29" t="str">
        <f t="shared" si="0"/>
        <v/>
      </c>
      <c r="G27" t="str">
        <f>IF(F27="","",_xlfn.RANK.EQ(F27,$F$7:$F$34,1)+COUNTIF($F$7:F27,F27)-1)</f>
        <v/>
      </c>
      <c r="H27" s="19" t="str">
        <f t="shared" si="1"/>
        <v/>
      </c>
      <c r="I27" s="18" t="str">
        <f t="shared" si="15"/>
        <v/>
      </c>
      <c r="J27" s="17" t="str">
        <f t="shared" si="2"/>
        <v/>
      </c>
      <c r="K27" s="16" t="str">
        <f t="shared" si="3"/>
        <v>~</v>
      </c>
      <c r="M27">
        <v>20</v>
      </c>
      <c r="N27" t="s">
        <v>44</v>
      </c>
      <c r="O27" t="s">
        <v>45</v>
      </c>
      <c r="P27">
        <f>VLOOKUP(O27,Lookups!$E$2:$F$47,2,FALSE)</f>
        <v>0.67</v>
      </c>
      <c r="Q27" s="30"/>
      <c r="R27" s="29" t="str">
        <f t="shared" si="4"/>
        <v/>
      </c>
      <c r="S27" t="str">
        <f>IF(R27="","",_xlfn.RANK.EQ(R27,$R$7:$R$34,1)+COUNTIF($R$7:R27,R27)-1)</f>
        <v/>
      </c>
      <c r="T27" s="19" t="str">
        <f t="shared" si="6"/>
        <v/>
      </c>
      <c r="U27" s="18" t="str">
        <f t="shared" si="7"/>
        <v/>
      </c>
      <c r="V27" s="17" t="str">
        <f t="shared" si="8"/>
        <v/>
      </c>
      <c r="W27" s="16" t="str">
        <f t="shared" si="9"/>
        <v>~</v>
      </c>
      <c r="Y27">
        <v>20</v>
      </c>
      <c r="Z27" t="s">
        <v>44</v>
      </c>
      <c r="AA27" t="s">
        <v>45</v>
      </c>
      <c r="AB27">
        <f>VLOOKUP(AA27,Lookups!$E$2:$F$47,2,FALSE)</f>
        <v>0.67</v>
      </c>
      <c r="AC27" s="30"/>
      <c r="AD27" s="29" t="str">
        <f t="shared" si="5"/>
        <v/>
      </c>
      <c r="AE27" t="str">
        <f>IF(AD27="","",_xlfn.RANK.EQ(AD27,$AD$7:$AD$34,1)+COUNTIF($AD$7:AD27,AD27)-1)</f>
        <v/>
      </c>
      <c r="AF27" s="19" t="str">
        <f t="shared" si="10"/>
        <v/>
      </c>
      <c r="AG27" s="18" t="str">
        <f t="shared" si="11"/>
        <v/>
      </c>
      <c r="AH27" s="17" t="str">
        <f t="shared" si="12"/>
        <v/>
      </c>
      <c r="AI27" s="16" t="str">
        <f t="shared" si="13"/>
        <v>~</v>
      </c>
      <c r="AJ27" s="31" t="s">
        <v>134</v>
      </c>
    </row>
    <row r="28" spans="1:36"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15"/>
        <v/>
      </c>
      <c r="J28" s="17" t="str">
        <f t="shared" si="2"/>
        <v/>
      </c>
      <c r="K28" s="16" t="str">
        <f t="shared" si="3"/>
        <v>~</v>
      </c>
      <c r="M28">
        <v>20</v>
      </c>
      <c r="N28" t="s">
        <v>42</v>
      </c>
      <c r="O28" t="s">
        <v>43</v>
      </c>
      <c r="P28">
        <f>VLOOKUP(O28,Lookups!$E$2:$F$47,2,FALSE)</f>
        <v>0.64</v>
      </c>
      <c r="Q28" s="30"/>
      <c r="R28" s="29" t="str">
        <f t="shared" si="4"/>
        <v/>
      </c>
      <c r="S28" t="str">
        <f>IF(R28="","",_xlfn.RANK.EQ(R28,$R$7:$R$34,1)+COUNTIF($R$7:R28,R28)-1)</f>
        <v/>
      </c>
      <c r="T28" s="19" t="str">
        <f t="shared" si="6"/>
        <v/>
      </c>
      <c r="U28" s="18" t="str">
        <f t="shared" si="7"/>
        <v/>
      </c>
      <c r="V28" s="17" t="str">
        <f t="shared" si="8"/>
        <v/>
      </c>
      <c r="W28" s="16" t="str">
        <f t="shared" si="9"/>
        <v>~</v>
      </c>
      <c r="Y28">
        <v>20</v>
      </c>
      <c r="Z28" t="s">
        <v>42</v>
      </c>
      <c r="AA28" t="s">
        <v>43</v>
      </c>
      <c r="AB28">
        <f>VLOOKUP(AA28,Lookups!$E$2:$F$47,2,FALSE)</f>
        <v>0.64</v>
      </c>
      <c r="AC28" s="30">
        <v>6.3240740740740736E-2</v>
      </c>
      <c r="AD28" s="29">
        <f t="shared" si="5"/>
        <v>4.0474074074074072E-2</v>
      </c>
      <c r="AE28">
        <f>IF(AD28="","",_xlfn.RANK.EQ(AD28,$AD$7:$AD$34,1)+COUNTIF($AD$7:AD28,AD28)-1)</f>
        <v>2</v>
      </c>
      <c r="AF28" s="19">
        <f t="shared" si="10"/>
        <v>972.85186896184405</v>
      </c>
      <c r="AG28" s="18">
        <f t="shared" si="11"/>
        <v>764.3009928623718</v>
      </c>
      <c r="AH28" s="17">
        <f t="shared" si="12"/>
        <v>969.16149405289718</v>
      </c>
      <c r="AI28" s="16">
        <f t="shared" si="13"/>
        <v>987</v>
      </c>
      <c r="AJ28" s="31">
        <f t="shared" si="14"/>
        <v>764.3009928623718</v>
      </c>
    </row>
    <row r="29" spans="1:36" x14ac:dyDescent="0.25">
      <c r="A29">
        <v>22</v>
      </c>
      <c r="B29" t="s">
        <v>106</v>
      </c>
      <c r="C29" t="s">
        <v>45</v>
      </c>
      <c r="D29">
        <f>VLOOKUP(C29,Lookups!$E$2:$F$47,2,FALSE)</f>
        <v>0.67</v>
      </c>
      <c r="E29" s="30"/>
      <c r="F29" s="29" t="str">
        <f t="shared" si="0"/>
        <v/>
      </c>
      <c r="G29" t="str">
        <f>IF(F29="","",_xlfn.RANK.EQ(F29,$F$7:$F$34,1)+COUNTIF($F$7:F29,F29)-1)</f>
        <v/>
      </c>
      <c r="H29" s="19" t="str">
        <f t="shared" si="1"/>
        <v/>
      </c>
      <c r="I29" s="18" t="str">
        <f t="shared" si="15"/>
        <v/>
      </c>
      <c r="J29" s="17" t="str">
        <f t="shared" si="2"/>
        <v/>
      </c>
      <c r="K29" s="16" t="str">
        <f t="shared" si="3"/>
        <v>~</v>
      </c>
      <c r="M29">
        <v>22</v>
      </c>
      <c r="N29" t="s">
        <v>106</v>
      </c>
      <c r="O29" t="s">
        <v>45</v>
      </c>
      <c r="P29">
        <f>VLOOKUP(O29,Lookups!$E$2:$F$47,2,FALSE)</f>
        <v>0.67</v>
      </c>
      <c r="Q29" s="30"/>
      <c r="R29" s="29" t="str">
        <f t="shared" si="4"/>
        <v/>
      </c>
      <c r="S29" t="str">
        <f>IF(R29="","",_xlfn.RANK.EQ(R29,$R$7:$R$34,1)+COUNTIF($R$7:R29,R29)-1)</f>
        <v/>
      </c>
      <c r="T29" s="19" t="str">
        <f t="shared" si="6"/>
        <v/>
      </c>
      <c r="U29" s="18" t="str">
        <f t="shared" si="7"/>
        <v/>
      </c>
      <c r="V29" s="17" t="str">
        <f t="shared" si="8"/>
        <v/>
      </c>
      <c r="W29" s="16" t="str">
        <f t="shared" si="9"/>
        <v>~</v>
      </c>
      <c r="Y29">
        <v>22</v>
      </c>
      <c r="Z29" t="s">
        <v>106</v>
      </c>
      <c r="AA29" t="s">
        <v>45</v>
      </c>
      <c r="AB29">
        <f>VLOOKUP(AA29,Lookups!$E$2:$F$47,2,FALSE)</f>
        <v>0.67</v>
      </c>
      <c r="AC29" s="30"/>
      <c r="AD29" s="29" t="str">
        <f t="shared" si="5"/>
        <v/>
      </c>
      <c r="AE29" t="str">
        <f>IF(AD29="","",_xlfn.RANK.EQ(AD29,$AD$7:$AD$34,1)+COUNTIF($AD$7:AD29,AD29)-1)</f>
        <v/>
      </c>
      <c r="AF29" s="19" t="str">
        <f t="shared" si="10"/>
        <v/>
      </c>
      <c r="AG29" s="18" t="str">
        <f t="shared" si="11"/>
        <v/>
      </c>
      <c r="AH29" s="17" t="str">
        <f t="shared" si="12"/>
        <v/>
      </c>
      <c r="AI29" s="16" t="str">
        <f t="shared" si="13"/>
        <v>~</v>
      </c>
      <c r="AJ29" s="31" t="s">
        <v>134</v>
      </c>
    </row>
    <row r="30" spans="1:36" x14ac:dyDescent="0.25">
      <c r="A30">
        <v>23</v>
      </c>
      <c r="B30" t="s">
        <v>46</v>
      </c>
      <c r="C30" t="s">
        <v>47</v>
      </c>
      <c r="D30">
        <f>VLOOKUP(C30,Lookups!$E$2:$F$47,2,FALSE)</f>
        <v>0.8</v>
      </c>
      <c r="E30" s="30">
        <v>7.7245370370370367E-2</v>
      </c>
      <c r="F30" s="29">
        <f t="shared" si="0"/>
        <v>6.1796296296296294E-2</v>
      </c>
      <c r="G30">
        <f>IF(F30="","",_xlfn.RANK.EQ(F30,$F$7:$F$34,1)+COUNTIF($F$7:F30,F30)-1)</f>
        <v>4</v>
      </c>
      <c r="H30" s="19">
        <f t="shared" si="1"/>
        <v>709.08409872131278</v>
      </c>
      <c r="I30" s="18">
        <f t="shared" si="15"/>
        <v>538.05813605034461</v>
      </c>
      <c r="J30" s="17">
        <f t="shared" si="2"/>
        <v>914.14647730437207</v>
      </c>
      <c r="K30" s="16">
        <f t="shared" si="3"/>
        <v>959</v>
      </c>
      <c r="M30">
        <v>23</v>
      </c>
      <c r="N30" t="s">
        <v>46</v>
      </c>
      <c r="O30" t="s">
        <v>47</v>
      </c>
      <c r="P30">
        <f>VLOOKUP(O30,Lookups!$E$2:$F$47,2,FALSE)</f>
        <v>0.8</v>
      </c>
      <c r="Q30" s="30"/>
      <c r="R30" s="29" t="str">
        <f t="shared" si="4"/>
        <v/>
      </c>
      <c r="S30" t="str">
        <f>IF(R30="","",_xlfn.RANK.EQ(R30,$R$7:$R$34,1)+COUNTIF($R$7:R30,R30)-1)</f>
        <v/>
      </c>
      <c r="T30" s="19" t="str">
        <f t="shared" si="6"/>
        <v/>
      </c>
      <c r="U30" s="18" t="str">
        <f t="shared" si="7"/>
        <v/>
      </c>
      <c r="V30" s="17" t="str">
        <f t="shared" si="8"/>
        <v/>
      </c>
      <c r="W30" s="16" t="str">
        <f t="shared" si="9"/>
        <v>~</v>
      </c>
      <c r="Y30">
        <v>23</v>
      </c>
      <c r="Z30" t="s">
        <v>46</v>
      </c>
      <c r="AA30" t="s">
        <v>47</v>
      </c>
      <c r="AB30">
        <f>VLOOKUP(AA30,Lookups!$E$2:$F$47,2,FALSE)</f>
        <v>0.8</v>
      </c>
      <c r="AC30" s="30"/>
      <c r="AD30" s="29" t="str">
        <f t="shared" si="5"/>
        <v/>
      </c>
      <c r="AE30" t="str">
        <f>IF(AD30="","",_xlfn.RANK.EQ(AD30,$AD$7:$AD$34,1)+COUNTIF($AD$7:AD30,AD30)-1)</f>
        <v/>
      </c>
      <c r="AF30" s="19" t="str">
        <f t="shared" si="10"/>
        <v/>
      </c>
      <c r="AG30" s="18" t="str">
        <f t="shared" si="11"/>
        <v/>
      </c>
      <c r="AH30" s="17" t="str">
        <f t="shared" si="12"/>
        <v/>
      </c>
      <c r="AI30" s="16" t="str">
        <f t="shared" si="13"/>
        <v>~</v>
      </c>
      <c r="AJ30" s="31">
        <f t="shared" si="14"/>
        <v>538.05813605034461</v>
      </c>
    </row>
    <row r="31" spans="1:36" x14ac:dyDescent="0.25">
      <c r="A31">
        <v>24</v>
      </c>
      <c r="B31" t="s">
        <v>48</v>
      </c>
      <c r="C31" t="s">
        <v>49</v>
      </c>
      <c r="D31">
        <f>VLOOKUP(C31,Lookups!$E$2:$F$47,2,FALSE)</f>
        <v>0.7</v>
      </c>
      <c r="E31" s="30"/>
      <c r="F31" s="29" t="str">
        <f t="shared" si="0"/>
        <v/>
      </c>
      <c r="G31" t="str">
        <f>IF(F31="","",_xlfn.RANK.EQ(F31,$F$7:$F$34,1)+COUNTIF($F$7:F31,F31)-1)</f>
        <v/>
      </c>
      <c r="H31" s="19" t="str">
        <f t="shared" si="1"/>
        <v/>
      </c>
      <c r="I31" s="18" t="str">
        <f t="shared" si="15"/>
        <v/>
      </c>
      <c r="J31" s="17" t="str">
        <f t="shared" si="2"/>
        <v/>
      </c>
      <c r="K31" s="16" t="str">
        <f t="shared" si="3"/>
        <v>~</v>
      </c>
      <c r="M31">
        <v>24</v>
      </c>
      <c r="N31" t="s">
        <v>48</v>
      </c>
      <c r="O31" t="s">
        <v>49</v>
      </c>
      <c r="P31">
        <f>VLOOKUP(O31,Lookups!$E$2:$F$47,2,FALSE)</f>
        <v>0.7</v>
      </c>
      <c r="Q31" s="30"/>
      <c r="R31" s="29" t="str">
        <f t="shared" si="4"/>
        <v/>
      </c>
      <c r="S31" t="str">
        <f>IF(R31="","",_xlfn.RANK.EQ(R31,$R$7:$R$34,1)+COUNTIF($R$7:R31,R31)-1)</f>
        <v/>
      </c>
      <c r="T31" s="19" t="str">
        <f t="shared" si="6"/>
        <v/>
      </c>
      <c r="U31" s="18" t="str">
        <f t="shared" si="7"/>
        <v/>
      </c>
      <c r="V31" s="17" t="str">
        <f t="shared" si="8"/>
        <v/>
      </c>
      <c r="W31" s="16" t="str">
        <f t="shared" si="9"/>
        <v>~</v>
      </c>
      <c r="Y31">
        <v>24</v>
      </c>
      <c r="Z31" t="s">
        <v>48</v>
      </c>
      <c r="AA31" t="s">
        <v>49</v>
      </c>
      <c r="AB31">
        <f>VLOOKUP(AA31,Lookups!$E$2:$F$47,2,FALSE)</f>
        <v>0.7</v>
      </c>
      <c r="AC31" s="30"/>
      <c r="AD31" s="29" t="str">
        <f t="shared" si="5"/>
        <v/>
      </c>
      <c r="AE31" t="str">
        <f>IF(AD31="","",_xlfn.RANK.EQ(AD31,$AD$7:$AD$34,1)+COUNTIF($AD$7:AD31,AD31)-1)</f>
        <v/>
      </c>
      <c r="AF31" s="19" t="str">
        <f t="shared" si="10"/>
        <v/>
      </c>
      <c r="AG31" s="18" t="str">
        <f t="shared" si="11"/>
        <v/>
      </c>
      <c r="AH31" s="17" t="str">
        <f t="shared" si="12"/>
        <v/>
      </c>
      <c r="AI31" s="16" t="str">
        <f t="shared" si="13"/>
        <v>~</v>
      </c>
      <c r="AJ31" s="31" t="s">
        <v>134</v>
      </c>
    </row>
    <row r="32" spans="1:36"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15"/>
        <v/>
      </c>
      <c r="J32" s="17" t="str">
        <f t="shared" si="2"/>
        <v/>
      </c>
      <c r="K32" s="16" t="str">
        <f t="shared" si="3"/>
        <v>~</v>
      </c>
      <c r="M32">
        <v>25</v>
      </c>
      <c r="N32" t="s">
        <v>50</v>
      </c>
      <c r="O32" t="s">
        <v>27</v>
      </c>
      <c r="P32">
        <f>VLOOKUP(O32,Lookups!$E$2:$F$47,2,FALSE)</f>
        <v>0.86</v>
      </c>
      <c r="Q32" s="30"/>
      <c r="R32" s="29" t="str">
        <f t="shared" si="4"/>
        <v/>
      </c>
      <c r="S32" t="str">
        <f>IF(R32="","",_xlfn.RANK.EQ(R32,$R$7:$R$34,1)+COUNTIF($R$7:R32,R32)-1)</f>
        <v/>
      </c>
      <c r="T32" s="19" t="str">
        <f t="shared" si="6"/>
        <v/>
      </c>
      <c r="U32" s="18" t="str">
        <f t="shared" si="7"/>
        <v/>
      </c>
      <c r="V32" s="17" t="str">
        <f t="shared" si="8"/>
        <v/>
      </c>
      <c r="W32" s="16" t="str">
        <f t="shared" si="9"/>
        <v>~</v>
      </c>
      <c r="Y32">
        <v>25</v>
      </c>
      <c r="Z32" t="s">
        <v>50</v>
      </c>
      <c r="AA32" t="s">
        <v>27</v>
      </c>
      <c r="AB32">
        <f>VLOOKUP(AA32,Lookups!$E$2:$F$47,2,FALSE)</f>
        <v>0.86</v>
      </c>
      <c r="AC32" s="30"/>
      <c r="AD32" s="29" t="str">
        <f t="shared" si="5"/>
        <v/>
      </c>
      <c r="AE32" t="str">
        <f>IF(AD32="","",_xlfn.RANK.EQ(AD32,$AD$7:$AD$34,1)+COUNTIF($AD$7:AD32,AD32)-1)</f>
        <v/>
      </c>
      <c r="AF32" s="19" t="str">
        <f t="shared" si="10"/>
        <v/>
      </c>
      <c r="AG32" s="18" t="str">
        <f t="shared" si="11"/>
        <v/>
      </c>
      <c r="AH32" s="17" t="str">
        <f t="shared" si="12"/>
        <v/>
      </c>
      <c r="AI32" s="16" t="str">
        <f t="shared" si="13"/>
        <v>~</v>
      </c>
      <c r="AJ32" s="31" t="s">
        <v>134</v>
      </c>
    </row>
    <row r="33" spans="1:36" x14ac:dyDescent="0.25">
      <c r="A33">
        <v>26</v>
      </c>
      <c r="B33" t="s">
        <v>57</v>
      </c>
      <c r="C33" t="s">
        <v>49</v>
      </c>
      <c r="D33">
        <f>VLOOKUP(C33,Lookups!$E$2:$F$47,2,FALSE)</f>
        <v>0.7</v>
      </c>
      <c r="E33" s="30"/>
      <c r="F33" s="29" t="str">
        <f t="shared" si="0"/>
        <v/>
      </c>
      <c r="G33" t="str">
        <f>IF(F33="","",_xlfn.RANK.EQ(F33,$F$7:$F$34,1)+COUNTIF($F$7:F33,F33)-1)</f>
        <v/>
      </c>
      <c r="H33" s="19" t="str">
        <f t="shared" si="1"/>
        <v/>
      </c>
      <c r="I33" s="18" t="str">
        <f t="shared" si="15"/>
        <v/>
      </c>
      <c r="J33" s="17" t="str">
        <f t="shared" si="2"/>
        <v/>
      </c>
      <c r="K33" s="16" t="str">
        <f t="shared" si="3"/>
        <v>~</v>
      </c>
      <c r="M33">
        <v>26</v>
      </c>
      <c r="N33" t="s">
        <v>57</v>
      </c>
      <c r="O33" t="s">
        <v>49</v>
      </c>
      <c r="P33">
        <f>VLOOKUP(O33,Lookups!$E$2:$F$47,2,FALSE)</f>
        <v>0.7</v>
      </c>
      <c r="Q33" s="30"/>
      <c r="R33" s="29" t="str">
        <f t="shared" si="4"/>
        <v/>
      </c>
      <c r="S33" t="str">
        <f>IF(R33="","",_xlfn.RANK.EQ(R33,$R$7:$R$34,1)+COUNTIF($R$7:R33,R33)-1)</f>
        <v/>
      </c>
      <c r="T33" s="19" t="str">
        <f t="shared" si="6"/>
        <v/>
      </c>
      <c r="U33" s="18" t="str">
        <f t="shared" si="7"/>
        <v/>
      </c>
      <c r="V33" s="17" t="str">
        <f t="shared" si="8"/>
        <v/>
      </c>
      <c r="W33" s="16" t="str">
        <f t="shared" si="9"/>
        <v>~</v>
      </c>
      <c r="Y33">
        <v>26</v>
      </c>
      <c r="Z33" t="s">
        <v>57</v>
      </c>
      <c r="AA33" t="s">
        <v>49</v>
      </c>
      <c r="AB33">
        <f>VLOOKUP(AA33,Lookups!$E$2:$F$47,2,FALSE)</f>
        <v>0.7</v>
      </c>
      <c r="AC33" s="30"/>
      <c r="AD33" s="29" t="str">
        <f t="shared" si="5"/>
        <v/>
      </c>
      <c r="AE33" t="str">
        <f>IF(AD33="","",_xlfn.RANK.EQ(AD33,$AD$7:$AD$34,1)+COUNTIF($AD$7:AD33,AD33)-1)</f>
        <v/>
      </c>
      <c r="AF33" s="19" t="str">
        <f t="shared" si="10"/>
        <v/>
      </c>
      <c r="AG33" s="18" t="str">
        <f t="shared" si="11"/>
        <v/>
      </c>
      <c r="AH33" s="17" t="str">
        <f t="shared" si="12"/>
        <v/>
      </c>
      <c r="AI33" s="16" t="str">
        <f t="shared" si="13"/>
        <v>~</v>
      </c>
      <c r="AJ33" s="31" t="s">
        <v>134</v>
      </c>
    </row>
    <row r="34" spans="1:36" x14ac:dyDescent="0.25">
      <c r="A34">
        <v>27</v>
      </c>
      <c r="B34" t="s">
        <v>55</v>
      </c>
      <c r="C34" t="s">
        <v>45</v>
      </c>
      <c r="D34">
        <f>VLOOKUP(C34,Lookups!$E$2:$F$47,2,FALSE)</f>
        <v>0.67</v>
      </c>
      <c r="E34" s="30"/>
      <c r="F34" s="29" t="str">
        <f t="shared" si="0"/>
        <v/>
      </c>
      <c r="G34" t="str">
        <f>IF(F34="","",_xlfn.RANK.EQ(F34,$F$7:$F$34,1)+COUNTIF($F$7:F34,F34)-1)</f>
        <v/>
      </c>
      <c r="H34" s="19" t="str">
        <f t="shared" si="1"/>
        <v/>
      </c>
      <c r="I34" s="18" t="str">
        <f t="shared" si="15"/>
        <v/>
      </c>
      <c r="J34" s="17" t="str">
        <f t="shared" si="2"/>
        <v/>
      </c>
      <c r="K34" s="16" t="str">
        <f t="shared" si="3"/>
        <v>~</v>
      </c>
      <c r="M34">
        <v>27</v>
      </c>
      <c r="N34" t="s">
        <v>55</v>
      </c>
      <c r="O34" t="s">
        <v>45</v>
      </c>
      <c r="P34">
        <f>VLOOKUP(O34,Lookups!$E$2:$F$47,2,FALSE)</f>
        <v>0.67</v>
      </c>
      <c r="Q34" s="30"/>
      <c r="R34" s="29" t="str">
        <f t="shared" si="4"/>
        <v/>
      </c>
      <c r="S34" t="str">
        <f>IF(R34="","",_xlfn.RANK.EQ(R34,$R$7:$R$34,1)+COUNTIF($R$7:R34,R34)-1)</f>
        <v/>
      </c>
      <c r="T34" s="19" t="str">
        <f t="shared" si="6"/>
        <v/>
      </c>
      <c r="U34" s="18" t="str">
        <f t="shared" si="7"/>
        <v/>
      </c>
      <c r="V34" s="17" t="str">
        <f t="shared" si="8"/>
        <v/>
      </c>
      <c r="W34" s="16" t="str">
        <f t="shared" si="9"/>
        <v>~</v>
      </c>
      <c r="Y34">
        <v>27</v>
      </c>
      <c r="Z34" t="s">
        <v>55</v>
      </c>
      <c r="AA34" t="s">
        <v>45</v>
      </c>
      <c r="AB34">
        <f>VLOOKUP(AA34,Lookups!$E$2:$F$47,2,FALSE)</f>
        <v>0.67</v>
      </c>
      <c r="AC34" s="30"/>
      <c r="AD34" s="29" t="str">
        <f t="shared" si="5"/>
        <v/>
      </c>
      <c r="AE34" t="str">
        <f>IF(AD34="","",_xlfn.RANK.EQ(AD34,$AD$7:$AD$34,1)+COUNTIF($AD$7:AD34,AD34)-1)</f>
        <v/>
      </c>
      <c r="AF34" s="19" t="str">
        <f t="shared" si="10"/>
        <v/>
      </c>
      <c r="AG34" s="18" t="str">
        <f t="shared" si="11"/>
        <v/>
      </c>
      <c r="AH34" s="17" t="str">
        <f t="shared" si="12"/>
        <v/>
      </c>
      <c r="AI34" s="16" t="str">
        <f t="shared" si="13"/>
        <v>~</v>
      </c>
      <c r="AJ34" s="31" t="s">
        <v>134</v>
      </c>
    </row>
    <row r="35" spans="1:36" x14ac:dyDescent="0.25">
      <c r="E35" s="26"/>
    </row>
    <row r="36" spans="1:36" x14ac:dyDescent="0.25">
      <c r="A36" t="s">
        <v>53</v>
      </c>
      <c r="E36" s="26"/>
    </row>
    <row r="37" spans="1:36" ht="30" x14ac:dyDescent="0.25">
      <c r="A37" t="s">
        <v>8</v>
      </c>
      <c r="B37" t="s">
        <v>9</v>
      </c>
      <c r="C37" t="s">
        <v>10</v>
      </c>
      <c r="D37" t="s">
        <v>54</v>
      </c>
      <c r="E37" s="27" t="s">
        <v>95</v>
      </c>
      <c r="F37" s="24" t="s">
        <v>94</v>
      </c>
      <c r="G37" s="24" t="s">
        <v>8</v>
      </c>
      <c r="H37" s="23" t="s">
        <v>93</v>
      </c>
      <c r="I37" s="22" t="s">
        <v>92</v>
      </c>
      <c r="J37" s="21" t="s">
        <v>91</v>
      </c>
      <c r="K37" s="20" t="s">
        <v>90</v>
      </c>
    </row>
    <row r="38" spans="1:36" x14ac:dyDescent="0.25">
      <c r="A38">
        <v>1</v>
      </c>
      <c r="B38" t="s">
        <v>55</v>
      </c>
      <c r="C38" t="s">
        <v>109</v>
      </c>
      <c r="D38">
        <f>VLOOKUP(C38,Lookups!$E$2:$F$47,2,FALSE)</f>
        <v>0.7</v>
      </c>
      <c r="E38" s="30"/>
      <c r="F38" s="29" t="str">
        <f>IF(E38="","",E38*D38)</f>
        <v/>
      </c>
      <c r="G38" t="str">
        <f>IF(F38="","",_xlfn.RANK.EQ(F38,$F$38:$F$62,1)+COUNTIF($F$38:F62,F38)-1)</f>
        <v/>
      </c>
      <c r="H38" s="19" t="str">
        <f t="shared" ref="H38:H62" si="16">IFERROR((1000+200*(AVERAGE($F$38:$F$62)-F38)/_xlfn.STDEV.P($F$38:$F$62)),"")</f>
        <v/>
      </c>
      <c r="I38" s="18" t="str">
        <f t="shared" ref="I38:I62" si="17">IFERROR(((1000*SMALL($F$38:$F$62,1)/F38)),"")</f>
        <v/>
      </c>
      <c r="J38" s="17" t="str">
        <f t="shared" ref="J38:J62" si="18">IF(E38="","",IF(F38&gt;=2*SMALL($F$38:$F$62,1),0,1000-((F38-SMALL($F$7:$F$62,1))/SMALL($F$38:$F$62,1)*100)))</f>
        <v/>
      </c>
      <c r="K38" s="16" t="str">
        <f>IFERROR((1000-MINUTE(F38-SMALL($F$38:$F$62,1))),"~")</f>
        <v>~</v>
      </c>
    </row>
    <row r="39" spans="1:36" x14ac:dyDescent="0.25">
      <c r="A39">
        <v>2</v>
      </c>
      <c r="B39" t="s">
        <v>57</v>
      </c>
      <c r="C39" t="s">
        <v>49</v>
      </c>
      <c r="D39">
        <f>VLOOKUP(C39,Lookups!$E$2:$F$47,2,FALSE)</f>
        <v>0.7</v>
      </c>
      <c r="E39" s="30"/>
      <c r="F39" s="29" t="str">
        <f>IF(E39="","",E39*D39)</f>
        <v/>
      </c>
      <c r="G39" t="str">
        <f>IF(F39="","",_xlfn.RANK.EQ(F39,$F$38:$F$62,1)+COUNTIF($F$38:F63,F39)-1)</f>
        <v/>
      </c>
      <c r="H39" s="19" t="str">
        <f t="shared" si="16"/>
        <v/>
      </c>
      <c r="I39" s="18" t="str">
        <f t="shared" si="17"/>
        <v/>
      </c>
      <c r="J39" s="17" t="str">
        <f t="shared" si="18"/>
        <v/>
      </c>
      <c r="K39" s="16" t="str">
        <f t="shared" ref="K39:K62" si="19">IFERROR((1000-MINUTE(F39-SMALL($F$38:$F$62,1))),"~")</f>
        <v>~</v>
      </c>
    </row>
    <row r="40" spans="1:36" x14ac:dyDescent="0.25">
      <c r="A40">
        <v>3</v>
      </c>
      <c r="B40" t="s">
        <v>111</v>
      </c>
      <c r="C40" t="s">
        <v>39</v>
      </c>
      <c r="D40">
        <f>VLOOKUP(C40,Lookups!$E$2:$F$47,2,FALSE)</f>
        <v>0.9</v>
      </c>
      <c r="E40" s="30"/>
      <c r="F40" s="29" t="str">
        <f t="shared" ref="F40:F62" si="20">IF(E40="","",E40*D40)</f>
        <v/>
      </c>
      <c r="G40" t="str">
        <f>IF(F40="","",_xlfn.RANK.EQ(F40,$F$38:$F$62,1)+COUNTIF($F$38:F64,F40)-1)</f>
        <v/>
      </c>
      <c r="H40" s="19" t="str">
        <f t="shared" si="16"/>
        <v/>
      </c>
      <c r="I40" s="18" t="str">
        <f t="shared" si="17"/>
        <v/>
      </c>
      <c r="J40" s="17" t="str">
        <f t="shared" si="18"/>
        <v/>
      </c>
      <c r="K40" s="16" t="str">
        <f t="shared" si="19"/>
        <v>~</v>
      </c>
    </row>
    <row r="41" spans="1:36" x14ac:dyDescent="0.25">
      <c r="A41">
        <v>4</v>
      </c>
      <c r="B41" t="s">
        <v>65</v>
      </c>
      <c r="C41" t="s">
        <v>63</v>
      </c>
      <c r="D41">
        <f>VLOOKUP(C41,Lookups!$E$2:$F$47,2,FALSE)</f>
        <v>0.62</v>
      </c>
      <c r="E41" s="30"/>
      <c r="F41" s="29" t="str">
        <f t="shared" si="20"/>
        <v/>
      </c>
      <c r="G41" t="str">
        <f>IF(F41="","",_xlfn.RANK.EQ(F41,$F$38:$F$62,1)+COUNTIF($F$38:F65,F41)-1)</f>
        <v/>
      </c>
      <c r="H41" s="19" t="str">
        <f t="shared" si="16"/>
        <v/>
      </c>
      <c r="I41" s="18" t="str">
        <f t="shared" si="17"/>
        <v/>
      </c>
      <c r="J41" s="17" t="str">
        <f t="shared" si="18"/>
        <v/>
      </c>
      <c r="K41" s="16" t="str">
        <f t="shared" si="19"/>
        <v>~</v>
      </c>
    </row>
    <row r="42" spans="1:36" x14ac:dyDescent="0.25">
      <c r="A42">
        <v>5</v>
      </c>
      <c r="B42" t="s">
        <v>116</v>
      </c>
      <c r="C42" t="s">
        <v>117</v>
      </c>
      <c r="D42">
        <f>VLOOKUP(C42,Lookups!$E$2:$F$47,2,FALSE)</f>
        <v>0.89</v>
      </c>
      <c r="E42" s="30"/>
      <c r="F42" s="29" t="str">
        <f t="shared" si="20"/>
        <v/>
      </c>
      <c r="G42" t="str">
        <f>IF(F42="","",_xlfn.RANK.EQ(F42,$F$38:$F$62,1)+COUNTIF($F$38:F66,F42)-1)</f>
        <v/>
      </c>
      <c r="H42" s="19" t="str">
        <f t="shared" si="16"/>
        <v/>
      </c>
      <c r="I42" s="18" t="str">
        <f t="shared" si="17"/>
        <v/>
      </c>
      <c r="J42" s="17" t="str">
        <f t="shared" si="18"/>
        <v/>
      </c>
      <c r="K42" s="16" t="str">
        <f t="shared" si="19"/>
        <v>~</v>
      </c>
    </row>
    <row r="43" spans="1:36" x14ac:dyDescent="0.25">
      <c r="A43">
        <v>6</v>
      </c>
      <c r="B43" t="s">
        <v>44</v>
      </c>
      <c r="C43" t="s">
        <v>45</v>
      </c>
      <c r="D43">
        <f>VLOOKUP(C43,Lookups!$E$2:$F$47,2,FALSE)</f>
        <v>0.67</v>
      </c>
      <c r="E43" s="30"/>
      <c r="F43" s="29" t="str">
        <f t="shared" si="20"/>
        <v/>
      </c>
      <c r="G43" t="str">
        <f>IF(F43="","",_xlfn.RANK.EQ(F43,$F$38:$F$62,1)+COUNTIF($F$38:F67,F43)-1)</f>
        <v/>
      </c>
      <c r="H43" s="19" t="str">
        <f t="shared" si="16"/>
        <v/>
      </c>
      <c r="I43" s="18" t="str">
        <f t="shared" si="17"/>
        <v/>
      </c>
      <c r="J43" s="17" t="str">
        <f t="shared" si="18"/>
        <v/>
      </c>
      <c r="K43" s="16" t="str">
        <f t="shared" si="19"/>
        <v>~</v>
      </c>
    </row>
    <row r="44" spans="1:36" x14ac:dyDescent="0.25">
      <c r="A44">
        <v>7</v>
      </c>
      <c r="B44" t="s">
        <v>115</v>
      </c>
      <c r="C44" t="s">
        <v>47</v>
      </c>
      <c r="D44">
        <f>VLOOKUP(C44,Lookups!$E$2:$F$47,2,FALSE)</f>
        <v>0.8</v>
      </c>
      <c r="E44" s="30"/>
      <c r="F44" s="29" t="str">
        <f t="shared" si="20"/>
        <v/>
      </c>
      <c r="G44" t="str">
        <f>IF(F44="","",_xlfn.RANK.EQ(F44,$F$38:$F$62,1)+COUNTIF($F$38:F68,F44)-1)</f>
        <v/>
      </c>
      <c r="H44" s="19" t="str">
        <f t="shared" si="16"/>
        <v/>
      </c>
      <c r="I44" s="18" t="str">
        <f t="shared" si="17"/>
        <v/>
      </c>
      <c r="J44" s="17" t="str">
        <f t="shared" si="18"/>
        <v/>
      </c>
      <c r="K44" s="16" t="str">
        <f t="shared" si="19"/>
        <v>~</v>
      </c>
    </row>
    <row r="45" spans="1:36" x14ac:dyDescent="0.25">
      <c r="A45">
        <v>8</v>
      </c>
      <c r="B45" t="s">
        <v>58</v>
      </c>
      <c r="C45" t="s">
        <v>59</v>
      </c>
      <c r="D45">
        <f>VLOOKUP(C45,Lookups!$E$2:$F$47,2,FALSE)</f>
        <v>0.77</v>
      </c>
      <c r="E45" s="30"/>
      <c r="F45" s="29" t="str">
        <f t="shared" si="20"/>
        <v/>
      </c>
      <c r="G45" t="str">
        <f>IF(F45="","",_xlfn.RANK.EQ(F45,$F$38:$F$62,1)+COUNTIF($F$38:F69,F45)-1)</f>
        <v/>
      </c>
      <c r="H45" s="19" t="str">
        <f t="shared" si="16"/>
        <v/>
      </c>
      <c r="I45" s="18" t="str">
        <f t="shared" si="17"/>
        <v/>
      </c>
      <c r="J45" s="17" t="str">
        <f t="shared" si="18"/>
        <v/>
      </c>
      <c r="K45" s="16" t="str">
        <f t="shared" si="19"/>
        <v>~</v>
      </c>
    </row>
    <row r="46" spans="1:36" x14ac:dyDescent="0.25">
      <c r="A46">
        <v>9</v>
      </c>
      <c r="B46" t="s">
        <v>124</v>
      </c>
      <c r="C46" t="s">
        <v>34</v>
      </c>
      <c r="D46">
        <f>VLOOKUP(C46,Lookups!$E$2:$F$47,2,FALSE)</f>
        <v>0.8</v>
      </c>
      <c r="E46" s="30"/>
      <c r="F46" s="29" t="str">
        <f t="shared" si="20"/>
        <v/>
      </c>
      <c r="G46" t="str">
        <f>IF(F46="","",_xlfn.RANK.EQ(F46,$F$38:$F$62,1)+COUNTIF($F$38:F76,F46)-1)</f>
        <v/>
      </c>
      <c r="H46" s="19" t="str">
        <f t="shared" si="16"/>
        <v/>
      </c>
      <c r="I46" s="18" t="str">
        <f t="shared" si="17"/>
        <v/>
      </c>
      <c r="J46" s="17" t="str">
        <f t="shared" si="18"/>
        <v/>
      </c>
      <c r="K46" s="16" t="str">
        <f t="shared" si="19"/>
        <v>~</v>
      </c>
    </row>
    <row r="47" spans="1:36" x14ac:dyDescent="0.25">
      <c r="A47">
        <v>10</v>
      </c>
      <c r="B47" t="s">
        <v>102</v>
      </c>
      <c r="C47" t="s">
        <v>103</v>
      </c>
      <c r="D47">
        <f>VLOOKUP(C47,Lookups!$E$2:$F$47,2,FALSE)</f>
        <v>0.92</v>
      </c>
      <c r="E47" s="30">
        <v>5.3229166666666661E-2</v>
      </c>
      <c r="F47" s="29">
        <f t="shared" si="20"/>
        <v>4.8970833333333331E-2</v>
      </c>
      <c r="G47">
        <f>IF(F47="","",_xlfn.RANK.EQ(F47,$F$38:$F$62,1)+COUNTIF($F$38:F77,F47)-1)</f>
        <v>1</v>
      </c>
      <c r="H47" s="19">
        <f t="shared" si="16"/>
        <v>1199.9999999999991</v>
      </c>
      <c r="I47" s="18">
        <f t="shared" si="17"/>
        <v>1000</v>
      </c>
      <c r="J47" s="17">
        <f t="shared" si="18"/>
        <v>967.89755807027996</v>
      </c>
      <c r="K47" s="16">
        <f t="shared" si="19"/>
        <v>1000</v>
      </c>
    </row>
    <row r="48" spans="1:36" x14ac:dyDescent="0.25">
      <c r="A48">
        <v>11</v>
      </c>
      <c r="B48" t="s">
        <v>6</v>
      </c>
      <c r="C48" t="s">
        <v>19</v>
      </c>
      <c r="D48">
        <f>VLOOKUP(C48,Lookups!$E$2:$F$47,2,FALSE)</f>
        <v>0.63</v>
      </c>
      <c r="E48" s="30"/>
      <c r="F48" s="29" t="str">
        <f t="shared" si="20"/>
        <v/>
      </c>
      <c r="G48" t="str">
        <f>IF(F48="","",_xlfn.RANK.EQ(F48,$F$38:$F$62,1)+COUNTIF($F$38:F78,F48)-1)</f>
        <v/>
      </c>
      <c r="H48" s="19" t="str">
        <f t="shared" si="16"/>
        <v/>
      </c>
      <c r="I48" s="18" t="str">
        <f t="shared" si="17"/>
        <v/>
      </c>
      <c r="J48" s="17" t="str">
        <f t="shared" si="18"/>
        <v/>
      </c>
      <c r="K48" s="16" t="str">
        <f t="shared" si="19"/>
        <v>~</v>
      </c>
    </row>
    <row r="49" spans="1:11" x14ac:dyDescent="0.25">
      <c r="B49" t="s">
        <v>104</v>
      </c>
      <c r="C49" t="s">
        <v>47</v>
      </c>
      <c r="E49" s="30"/>
      <c r="F49" s="29" t="str">
        <f t="shared" ref="F49:F52" si="21">IF(E49="","",E49*D49)</f>
        <v/>
      </c>
      <c r="G49" t="str">
        <f>IF(F49="","",_xlfn.RANK.EQ(F49,$F$38:$F$62,1)+COUNTIF($F$38:F79,F49)-1)</f>
        <v/>
      </c>
      <c r="H49" s="19" t="str">
        <f t="shared" ref="H49:H52" si="22">IFERROR((1000+200*(AVERAGE($F$38:$F$62)-F49)/_xlfn.STDEV.P($F$38:$F$62)),"")</f>
        <v/>
      </c>
      <c r="I49" s="18" t="str">
        <f t="shared" ref="I49:I52" si="23">IFERROR(((1000*SMALL($F$38:$F$62,1)/F49)),"")</f>
        <v/>
      </c>
      <c r="J49" s="17" t="str">
        <f t="shared" ref="J49:J52" si="24">IF(E49="","",IF(F49&gt;=2*SMALL($F$38:$F$62,1),0,1000-((F49-SMALL($F$7:$F$62,1))/SMALL($F$38:$F$62,1)*100)))</f>
        <v/>
      </c>
      <c r="K49" s="16" t="str">
        <f t="shared" ref="K49:K52" si="25">IFERROR((1000-MINUTE(F49-SMALL($F$38:$F$62,1))),"~")</f>
        <v>~</v>
      </c>
    </row>
    <row r="50" spans="1:11" x14ac:dyDescent="0.25">
      <c r="B50" t="s">
        <v>112</v>
      </c>
      <c r="C50" t="s">
        <v>17</v>
      </c>
      <c r="D50">
        <f>VLOOKUP(C50,Lookups!$E$2:$F$47,2,FALSE)</f>
        <v>0.7</v>
      </c>
      <c r="E50" s="30"/>
      <c r="F50" s="29" t="str">
        <f t="shared" si="21"/>
        <v/>
      </c>
      <c r="G50" t="str">
        <f>IF(F50="","",_xlfn.RANK.EQ(F50,$F$38:$F$62,1)+COUNTIF($F$38:F80,F50)-1)</f>
        <v/>
      </c>
      <c r="H50" s="19" t="str">
        <f t="shared" si="22"/>
        <v/>
      </c>
      <c r="I50" s="18" t="str">
        <f t="shared" si="23"/>
        <v/>
      </c>
      <c r="J50" s="17" t="str">
        <f t="shared" si="24"/>
        <v/>
      </c>
      <c r="K50" s="16" t="str">
        <f t="shared" si="25"/>
        <v>~</v>
      </c>
    </row>
    <row r="51" spans="1:11" x14ac:dyDescent="0.25">
      <c r="B51" t="s">
        <v>157</v>
      </c>
      <c r="C51" t="s">
        <v>156</v>
      </c>
      <c r="E51" s="30"/>
      <c r="F51" s="29" t="str">
        <f t="shared" si="21"/>
        <v/>
      </c>
      <c r="G51" t="str">
        <f>IF(F51="","",_xlfn.RANK.EQ(F51,$F$38:$F$62,1)+COUNTIF($F$38:F81,F51)-1)</f>
        <v/>
      </c>
      <c r="H51" s="19" t="str">
        <f t="shared" si="22"/>
        <v/>
      </c>
      <c r="I51" s="18" t="str">
        <f t="shared" si="23"/>
        <v/>
      </c>
      <c r="J51" s="17" t="str">
        <f t="shared" si="24"/>
        <v/>
      </c>
      <c r="K51" s="16" t="str">
        <f t="shared" si="25"/>
        <v>~</v>
      </c>
    </row>
    <row r="52" spans="1:11" x14ac:dyDescent="0.25">
      <c r="B52" t="s">
        <v>76</v>
      </c>
      <c r="C52" t="s">
        <v>19</v>
      </c>
      <c r="D52">
        <f>VLOOKUP(C52,Lookups!$E$2:$F$47,2,FALSE)</f>
        <v>0.63</v>
      </c>
      <c r="E52" s="30"/>
      <c r="F52" s="29" t="str">
        <f t="shared" si="21"/>
        <v/>
      </c>
      <c r="G52" t="str">
        <f>IF(F52="","",_xlfn.RANK.EQ(F52,$F$38:$F$62,1)+COUNTIF($F$38:F82,F52)-1)</f>
        <v/>
      </c>
      <c r="H52" s="19" t="str">
        <f t="shared" si="22"/>
        <v/>
      </c>
      <c r="I52" s="18" t="str">
        <f t="shared" si="23"/>
        <v/>
      </c>
      <c r="J52" s="17" t="str">
        <f t="shared" si="24"/>
        <v/>
      </c>
      <c r="K52" s="16" t="str">
        <f t="shared" si="25"/>
        <v>~</v>
      </c>
    </row>
    <row r="53" spans="1:11" x14ac:dyDescent="0.25">
      <c r="B53" t="s">
        <v>25</v>
      </c>
      <c r="C53" t="s">
        <v>26</v>
      </c>
      <c r="D53">
        <f>VLOOKUP(C53,Lookups!$E$2:$F$47,2,FALSE)</f>
        <v>0.67</v>
      </c>
      <c r="E53" s="30"/>
      <c r="F53" s="29" t="str">
        <f t="shared" ref="F53" si="26">IF(E53="","",E53*D53)</f>
        <v/>
      </c>
      <c r="G53" t="str">
        <f>IF(F53="","",_xlfn.RANK.EQ(F53,$F$38:$F$62,1)+COUNTIF($F$38:F81,F53)-1)</f>
        <v/>
      </c>
      <c r="H53" s="19" t="str">
        <f t="shared" ref="H53" si="27">IFERROR((1000+200*(AVERAGE($F$38:$F$62)-F53)/_xlfn.STDEV.P($F$38:$F$62)),"")</f>
        <v/>
      </c>
      <c r="I53" s="18" t="str">
        <f t="shared" ref="I53" si="28">IFERROR(((1000*SMALL($F$38:$F$62,1)/F53)),"")</f>
        <v/>
      </c>
      <c r="J53" s="17" t="str">
        <f t="shared" ref="J53" si="29">IF(E53="","",IF(F53&gt;=2*SMALL($F$38:$F$62,1),0,1000-((F53-SMALL($F$7:$F$62,1))/SMALL($F$38:$F$62,1)*100)))</f>
        <v/>
      </c>
      <c r="K53" s="16" t="str">
        <f t="shared" ref="K53" si="30">IFERROR((1000-MINUTE(F53-SMALL($F$38:$F$62,1))),"~")</f>
        <v>~</v>
      </c>
    </row>
    <row r="54" spans="1:11" x14ac:dyDescent="0.25">
      <c r="A54">
        <v>12</v>
      </c>
      <c r="B54" t="s">
        <v>42</v>
      </c>
      <c r="C54" t="s">
        <v>43</v>
      </c>
      <c r="D54">
        <f>VLOOKUP(C54,Lookups!$E$2:$F$47,2,FALSE)</f>
        <v>0.64</v>
      </c>
      <c r="E54" s="30"/>
      <c r="F54" s="29" t="str">
        <f t="shared" si="20"/>
        <v/>
      </c>
      <c r="G54" t="str">
        <f>IF(F54="","",_xlfn.RANK.EQ(F54,$F$38:$F$62,1)+COUNTIF($F$38:F79,F54)-1)</f>
        <v/>
      </c>
      <c r="H54" s="19" t="str">
        <f t="shared" si="16"/>
        <v/>
      </c>
      <c r="I54" s="18" t="str">
        <f t="shared" si="17"/>
        <v/>
      </c>
      <c r="J54" s="17" t="str">
        <f t="shared" si="18"/>
        <v/>
      </c>
      <c r="K54" s="16" t="str">
        <f t="shared" si="19"/>
        <v>~</v>
      </c>
    </row>
    <row r="55" spans="1:11" x14ac:dyDescent="0.25">
      <c r="A55">
        <v>13</v>
      </c>
      <c r="B55" t="s">
        <v>60</v>
      </c>
      <c r="C55" t="s">
        <v>34</v>
      </c>
      <c r="D55">
        <f>VLOOKUP(C55,Lookups!$E$2:$F$47,2,FALSE)</f>
        <v>0.8</v>
      </c>
      <c r="E55" s="30"/>
      <c r="F55" s="29" t="str">
        <f t="shared" si="20"/>
        <v/>
      </c>
      <c r="G55" t="str">
        <f>IF(F55="","",_xlfn.RANK.EQ(F55,$F$38:$F$62,1)+COUNTIF($F$38:F80,F55)-1)</f>
        <v/>
      </c>
      <c r="H55" s="19" t="str">
        <f t="shared" si="16"/>
        <v/>
      </c>
      <c r="I55" s="18" t="str">
        <f t="shared" si="17"/>
        <v/>
      </c>
      <c r="J55" s="17" t="str">
        <f t="shared" si="18"/>
        <v/>
      </c>
      <c r="K55" s="16" t="str">
        <f t="shared" si="19"/>
        <v>~</v>
      </c>
    </row>
    <row r="56" spans="1:11" x14ac:dyDescent="0.25">
      <c r="A56">
        <v>14</v>
      </c>
      <c r="B56" t="s">
        <v>104</v>
      </c>
      <c r="C56" t="s">
        <v>47</v>
      </c>
      <c r="D56">
        <f>VLOOKUP(C56,Lookups!$E$2:$F$47,2,FALSE)</f>
        <v>0.8</v>
      </c>
      <c r="E56" s="30"/>
      <c r="F56" s="29" t="str">
        <f t="shared" si="20"/>
        <v/>
      </c>
      <c r="G56" t="str">
        <f>IF(F56="","",_xlfn.RANK.EQ(F56,$F$38:$F$62,1)+COUNTIF($F$38:F81,F56)-1)</f>
        <v/>
      </c>
      <c r="H56" s="19" t="str">
        <f t="shared" si="16"/>
        <v/>
      </c>
      <c r="I56" s="18" t="str">
        <f t="shared" si="17"/>
        <v/>
      </c>
      <c r="J56" s="17" t="str">
        <f t="shared" si="18"/>
        <v/>
      </c>
      <c r="K56" s="16" t="str">
        <f t="shared" si="19"/>
        <v>~</v>
      </c>
    </row>
    <row r="57" spans="1:11" x14ac:dyDescent="0.25">
      <c r="A57">
        <v>15</v>
      </c>
      <c r="B57" t="s">
        <v>61</v>
      </c>
      <c r="C57" t="s">
        <v>39</v>
      </c>
      <c r="D57">
        <f>VLOOKUP(C57,Lookups!$E$2:$F$47,2,FALSE)</f>
        <v>0.9</v>
      </c>
      <c r="E57" s="30"/>
      <c r="F57" s="29" t="str">
        <f t="shared" si="20"/>
        <v/>
      </c>
      <c r="G57" t="str">
        <f>IF(F57="","",_xlfn.RANK.EQ(F57,$F$38:$F$62,1)+COUNTIF($F$38:F82,F57)-1)</f>
        <v/>
      </c>
      <c r="H57" s="19" t="str">
        <f t="shared" si="16"/>
        <v/>
      </c>
      <c r="I57" s="18" t="str">
        <f t="shared" si="17"/>
        <v/>
      </c>
      <c r="J57" s="17" t="str">
        <f t="shared" si="18"/>
        <v/>
      </c>
      <c r="K57" s="16" t="str">
        <f t="shared" si="19"/>
        <v>~</v>
      </c>
    </row>
    <row r="58" spans="1:11" x14ac:dyDescent="0.25">
      <c r="A58">
        <v>16</v>
      </c>
      <c r="B58" t="s">
        <v>114</v>
      </c>
      <c r="C58" t="s">
        <v>31</v>
      </c>
      <c r="D58">
        <f>VLOOKUP(C58,Lookups!$E$2:$F$47,2,FALSE)</f>
        <v>0.82</v>
      </c>
      <c r="E58" s="30"/>
      <c r="F58" s="29" t="str">
        <f t="shared" si="20"/>
        <v/>
      </c>
      <c r="G58" t="str">
        <f>IF(F58="","",_xlfn.RANK.EQ(F58,$F$38:$F$62,1)+COUNTIF($F$38:F83,F58)-1)</f>
        <v/>
      </c>
      <c r="H58" s="19" t="str">
        <f t="shared" si="16"/>
        <v/>
      </c>
      <c r="I58" s="18" t="str">
        <f t="shared" si="17"/>
        <v/>
      </c>
      <c r="J58" s="17" t="str">
        <f t="shared" si="18"/>
        <v/>
      </c>
      <c r="K58" s="16" t="str">
        <f t="shared" si="19"/>
        <v>~</v>
      </c>
    </row>
    <row r="59" spans="1:11" x14ac:dyDescent="0.25">
      <c r="A59">
        <v>17</v>
      </c>
      <c r="B59" t="s">
        <v>118</v>
      </c>
      <c r="C59" t="s">
        <v>47</v>
      </c>
      <c r="D59">
        <f>VLOOKUP(C59,Lookups!$E$2:$F$47,2,FALSE)</f>
        <v>0.8</v>
      </c>
      <c r="E59" s="30"/>
      <c r="F59" s="29" t="str">
        <f t="shared" si="20"/>
        <v/>
      </c>
      <c r="G59" t="str">
        <f>IF(F59="","",_xlfn.RANK.EQ(F59,$F$38:$F$62,1)+COUNTIF($F$38:F84,F59)-1)</f>
        <v/>
      </c>
      <c r="H59" s="19" t="str">
        <f t="shared" si="16"/>
        <v/>
      </c>
      <c r="I59" s="18" t="str">
        <f t="shared" si="17"/>
        <v/>
      </c>
      <c r="J59" s="17" t="str">
        <f t="shared" si="18"/>
        <v/>
      </c>
      <c r="K59" s="16" t="str">
        <f t="shared" si="19"/>
        <v>~</v>
      </c>
    </row>
    <row r="60" spans="1:11" x14ac:dyDescent="0.25">
      <c r="A60">
        <v>18</v>
      </c>
      <c r="B60" t="s">
        <v>106</v>
      </c>
      <c r="C60" t="s">
        <v>107</v>
      </c>
      <c r="D60">
        <f>VLOOKUP(C60,Lookups!$E$2:$F$47,2,FALSE)</f>
        <v>0.92</v>
      </c>
      <c r="E60" s="30">
        <v>5.4710648148148154E-2</v>
      </c>
      <c r="F60" s="29">
        <f t="shared" si="20"/>
        <v>5.0333796296296307E-2</v>
      </c>
      <c r="G60">
        <f>IF(F60="","",_xlfn.RANK.EQ(F60,$F$38:$F$62,1)+COUNTIF($F$38:F85,F60)-1)</f>
        <v>2</v>
      </c>
      <c r="H60" s="19">
        <f t="shared" si="16"/>
        <v>799.99999999999898</v>
      </c>
      <c r="I60" s="18">
        <f t="shared" si="17"/>
        <v>972.92151470277111</v>
      </c>
      <c r="J60" s="17">
        <f t="shared" si="18"/>
        <v>965.11434432816202</v>
      </c>
      <c r="K60" s="16">
        <f t="shared" si="19"/>
        <v>999</v>
      </c>
    </row>
    <row r="61" spans="1:11" x14ac:dyDescent="0.25">
      <c r="A61">
        <v>19</v>
      </c>
      <c r="B61" t="s">
        <v>41</v>
      </c>
      <c r="C61" t="s">
        <v>17</v>
      </c>
      <c r="D61">
        <f>VLOOKUP(C61,Lookups!$E$2:$F$47,2,FALSE)</f>
        <v>0.7</v>
      </c>
      <c r="E61" s="30"/>
      <c r="F61" s="29" t="str">
        <f t="shared" si="20"/>
        <v/>
      </c>
      <c r="G61" t="str">
        <f>IF(F61="","",_xlfn.RANK.EQ(F61,$F$38:$F$62,1)+COUNTIF($F$38:F86,F61)-1)</f>
        <v/>
      </c>
      <c r="H61" s="19" t="str">
        <f t="shared" si="16"/>
        <v/>
      </c>
      <c r="I61" s="18" t="str">
        <f t="shared" si="17"/>
        <v/>
      </c>
      <c r="J61" s="17" t="str">
        <f t="shared" si="18"/>
        <v/>
      </c>
      <c r="K61" s="16" t="str">
        <f t="shared" si="19"/>
        <v>~</v>
      </c>
    </row>
    <row r="62" spans="1:11" x14ac:dyDescent="0.25">
      <c r="A62">
        <v>19</v>
      </c>
      <c r="B62" t="s">
        <v>67</v>
      </c>
      <c r="C62" t="s">
        <v>34</v>
      </c>
      <c r="D62">
        <f>VLOOKUP(C62,Lookups!$E$2:$F$47,2,FALSE)</f>
        <v>0.8</v>
      </c>
      <c r="E62" s="30"/>
      <c r="F62" s="29" t="str">
        <f t="shared" si="20"/>
        <v/>
      </c>
      <c r="G62" t="str">
        <f>IF(F62="","",_xlfn.RANK.EQ(F62,$F$38:$F$62,1)+COUNTIF($F$38:F86,F62)-1)</f>
        <v/>
      </c>
      <c r="H62" s="19" t="str">
        <f t="shared" si="16"/>
        <v/>
      </c>
      <c r="I62" s="18" t="str">
        <f t="shared" si="17"/>
        <v/>
      </c>
      <c r="J62" s="17" t="str">
        <f t="shared" si="18"/>
        <v/>
      </c>
      <c r="K62" s="16" t="str">
        <f t="shared" si="19"/>
        <v>~</v>
      </c>
    </row>
    <row r="63" spans="1:11" x14ac:dyDescent="0.25">
      <c r="E63" s="26"/>
    </row>
    <row r="64" spans="1:11" x14ac:dyDescent="0.25">
      <c r="A64" t="s">
        <v>64</v>
      </c>
      <c r="E64" s="26"/>
    </row>
    <row r="65" spans="1:11" ht="30" x14ac:dyDescent="0.25">
      <c r="A65" t="s">
        <v>8</v>
      </c>
      <c r="B65" t="s">
        <v>9</v>
      </c>
      <c r="C65" t="s">
        <v>10</v>
      </c>
      <c r="D65" t="s">
        <v>54</v>
      </c>
      <c r="E65" s="27" t="s">
        <v>95</v>
      </c>
      <c r="F65" s="24" t="s">
        <v>94</v>
      </c>
      <c r="G65" s="24" t="s">
        <v>8</v>
      </c>
      <c r="H65" s="23" t="s">
        <v>93</v>
      </c>
      <c r="I65" s="22" t="s">
        <v>92</v>
      </c>
      <c r="J65" s="21" t="s">
        <v>91</v>
      </c>
      <c r="K65" s="20" t="s">
        <v>90</v>
      </c>
    </row>
    <row r="66" spans="1:11" x14ac:dyDescent="0.25">
      <c r="A66">
        <v>1</v>
      </c>
      <c r="B66" t="s">
        <v>60</v>
      </c>
      <c r="C66" t="s">
        <v>34</v>
      </c>
      <c r="D66">
        <f>VLOOKUP(C66,Lookups!$E$2:$F$47,2,FALSE)</f>
        <v>0.8</v>
      </c>
      <c r="E66" s="30"/>
      <c r="F66" s="29" t="str">
        <f>IF(E66="","",E66*D66)</f>
        <v/>
      </c>
      <c r="G66" t="str">
        <f>IF(F66="","",_xlfn.RANK.EQ(F66,$F$66:$F$85,1)+COUNTIF($F$66:F85,F66)-1)</f>
        <v/>
      </c>
      <c r="H66" s="19" t="str">
        <f>IFERROR((1000+200*(AVERAGE($F$66:$F$85)-F66)/_xlfn.STDEV.P($F$66:$F$85)),"")</f>
        <v/>
      </c>
      <c r="I66" s="18" t="str">
        <f>IFERROR(((1000*SMALL($F$66:$F$85,1)/F66)),"")</f>
        <v/>
      </c>
      <c r="J66" s="17" t="str">
        <f>IF(E66="","",IF(F66&gt;=2*SMALL($F$66:$F$85,1),0,1000-((F66-SMALL($F$66:$F$85,1))/SMALL($F$66:$F$85,1)*100)))</f>
        <v/>
      </c>
      <c r="K66" s="16" t="str">
        <f>IFERROR((1000-MINUTE(F66-SMALL($F$66:$F$85,1))),"~")</f>
        <v>~</v>
      </c>
    </row>
    <row r="67" spans="1:11" x14ac:dyDescent="0.25">
      <c r="A67">
        <v>2</v>
      </c>
      <c r="B67" t="s">
        <v>65</v>
      </c>
      <c r="C67" t="s">
        <v>108</v>
      </c>
      <c r="D67">
        <f>VLOOKUP(C67,Lookups!$E$2:$F$47,2,FALSE)</f>
        <v>0.65</v>
      </c>
      <c r="E67" s="30"/>
      <c r="F67" s="29" t="str">
        <f t="shared" ref="F67:F85" si="31">IF(E67="","",E67*D67)</f>
        <v/>
      </c>
      <c r="G67" t="str">
        <f>IF(F67="","",_xlfn.RANK.EQ(F67,$F$66:$F$85,1)+COUNTIF($F$66:F86,F67)-1)</f>
        <v/>
      </c>
      <c r="H67" s="19" t="str">
        <f t="shared" ref="H67:H85" si="32">IFERROR((1000+200*(AVERAGE($F$66:$F$85)-F67)/_xlfn.STDEV.P($F$66:$F$85)),"")</f>
        <v/>
      </c>
      <c r="I67" s="18" t="str">
        <f t="shared" ref="I67:I85" si="33">IFERROR(((1000*SMALL($F$66:$F$85,1)/F67)),"")</f>
        <v/>
      </c>
      <c r="J67" s="17" t="str">
        <f t="shared" ref="J67:J85" si="34">IF(E67="","",IF(F67&gt;=2*SMALL($F$66:$F$85,1),0,1000-((F67-SMALL($F$66:$F$85,1))/SMALL($F$66:$F$85,1)*100)))</f>
        <v/>
      </c>
      <c r="K67" s="16" t="str">
        <f t="shared" ref="K67:K85" si="35">IFERROR((1000-MINUTE(F67-SMALL($F$66:$F$85,1))),"~")</f>
        <v>~</v>
      </c>
    </row>
    <row r="68" spans="1:11" x14ac:dyDescent="0.25">
      <c r="A68">
        <v>3</v>
      </c>
      <c r="B68" t="s">
        <v>67</v>
      </c>
      <c r="C68" t="s">
        <v>34</v>
      </c>
      <c r="D68">
        <f>VLOOKUP(C68,Lookups!$E$2:$F$47,2,FALSE)</f>
        <v>0.8</v>
      </c>
      <c r="E68" s="30"/>
      <c r="F68" s="29" t="str">
        <f t="shared" si="31"/>
        <v/>
      </c>
      <c r="G68" t="str">
        <f>IF(F68="","",_xlfn.RANK.EQ(F68,$F$66:$F$85,1)+COUNTIF($F$66:F87,F68)-1)</f>
        <v/>
      </c>
      <c r="H68" s="19" t="str">
        <f t="shared" si="32"/>
        <v/>
      </c>
      <c r="I68" s="18" t="str">
        <f t="shared" si="33"/>
        <v/>
      </c>
      <c r="J68" s="17" t="str">
        <f t="shared" si="34"/>
        <v/>
      </c>
      <c r="K68" s="16" t="str">
        <f t="shared" si="35"/>
        <v>~</v>
      </c>
    </row>
    <row r="69" spans="1:11" x14ac:dyDescent="0.25">
      <c r="A69">
        <v>4</v>
      </c>
      <c r="B69" t="s">
        <v>111</v>
      </c>
      <c r="C69" t="s">
        <v>39</v>
      </c>
      <c r="D69">
        <f>VLOOKUP(C69,Lookups!$E$2:$F$47,2,FALSE)</f>
        <v>0.9</v>
      </c>
      <c r="E69" s="30"/>
      <c r="F69" s="29" t="str">
        <f t="shared" si="31"/>
        <v/>
      </c>
      <c r="G69" t="str">
        <f>IF(F69="","",_xlfn.RANK.EQ(F69,$F$66:$F$85,1)+COUNTIF($F$66:F88,F69)-1)</f>
        <v/>
      </c>
      <c r="H69" s="19" t="str">
        <f t="shared" si="32"/>
        <v/>
      </c>
      <c r="I69" s="18" t="str">
        <f t="shared" si="33"/>
        <v/>
      </c>
      <c r="J69" s="17" t="str">
        <f t="shared" si="34"/>
        <v/>
      </c>
      <c r="K69" s="16" t="str">
        <f t="shared" si="35"/>
        <v>~</v>
      </c>
    </row>
    <row r="70" spans="1:11" x14ac:dyDescent="0.25">
      <c r="B70" t="s">
        <v>44</v>
      </c>
      <c r="C70" t="s">
        <v>45</v>
      </c>
      <c r="D70">
        <f>VLOOKUP(C70,Lookups!$E$2:$F$47,2,FALSE)</f>
        <v>0.67</v>
      </c>
      <c r="E70" s="30"/>
      <c r="F70" s="29" t="str">
        <f t="shared" ref="F70:F75" si="36">IF(E70="","",E70*D70)</f>
        <v/>
      </c>
      <c r="G70" t="str">
        <f>IF(F70="","",_xlfn.RANK.EQ(F70,$F$66:$F$85,1)+COUNTIF($F$66:F89,F70)-1)</f>
        <v/>
      </c>
      <c r="H70" s="19" t="str">
        <f t="shared" ref="H70:H75" si="37">IFERROR((1000+200*(AVERAGE($F$66:$F$85)-F70)/_xlfn.STDEV.P($F$66:$F$85)),"")</f>
        <v/>
      </c>
      <c r="I70" s="18" t="str">
        <f t="shared" ref="I70:I75" si="38">IFERROR(((1000*SMALL($F$66:$F$85,1)/F70)),"")</f>
        <v/>
      </c>
      <c r="J70" s="17" t="str">
        <f t="shared" ref="J70:J75" si="39">IF(E70="","",IF(F70&gt;=2*SMALL($F$66:$F$85,1),0,1000-((F70-SMALL($F$66:$F$85,1))/SMALL($F$66:$F$85,1)*100)))</f>
        <v/>
      </c>
      <c r="K70" s="16" t="str">
        <f t="shared" ref="K70:K75" si="40">IFERROR((1000-MINUTE(F70-SMALL($F$66:$F$85,1))),"~")</f>
        <v>~</v>
      </c>
    </row>
    <row r="71" spans="1:11" x14ac:dyDescent="0.25">
      <c r="B71" t="s">
        <v>62</v>
      </c>
      <c r="C71" t="s">
        <v>63</v>
      </c>
      <c r="D71">
        <f>VLOOKUP(C71,Lookups!$E$2:$F$47,2,FALSE)</f>
        <v>0.62</v>
      </c>
      <c r="E71" s="30"/>
      <c r="F71" s="29" t="str">
        <f t="shared" si="36"/>
        <v/>
      </c>
      <c r="G71" t="str">
        <f>IF(F71="","",_xlfn.RANK.EQ(F71,$F$66:$F$85,1)+COUNTIF($F$66:F90,F71)-1)</f>
        <v/>
      </c>
      <c r="H71" s="19" t="str">
        <f t="shared" si="37"/>
        <v/>
      </c>
      <c r="I71" s="18" t="str">
        <f t="shared" si="38"/>
        <v/>
      </c>
      <c r="J71" s="17" t="str">
        <f t="shared" si="39"/>
        <v/>
      </c>
      <c r="K71" s="16" t="str">
        <f t="shared" si="40"/>
        <v>~</v>
      </c>
    </row>
    <row r="72" spans="1:11" x14ac:dyDescent="0.25">
      <c r="B72" t="s">
        <v>119</v>
      </c>
      <c r="C72" t="s">
        <v>47</v>
      </c>
      <c r="D72">
        <f>VLOOKUP(C72,Lookups!$E$2:$F$47,2,FALSE)</f>
        <v>0.8</v>
      </c>
      <c r="E72" s="30"/>
      <c r="F72" s="29" t="str">
        <f t="shared" si="36"/>
        <v/>
      </c>
      <c r="G72" t="str">
        <f>IF(F72="","",_xlfn.RANK.EQ(F72,$F$66:$F$85,1)+COUNTIF($F$66:F91,F72)-1)</f>
        <v/>
      </c>
      <c r="H72" s="19" t="str">
        <f t="shared" si="37"/>
        <v/>
      </c>
      <c r="I72" s="18" t="str">
        <f t="shared" si="38"/>
        <v/>
      </c>
      <c r="J72" s="17" t="str">
        <f t="shared" si="39"/>
        <v/>
      </c>
      <c r="K72" s="16" t="str">
        <f t="shared" si="40"/>
        <v>~</v>
      </c>
    </row>
    <row r="73" spans="1:11" x14ac:dyDescent="0.25">
      <c r="B73" t="s">
        <v>58</v>
      </c>
      <c r="C73" t="s">
        <v>59</v>
      </c>
      <c r="D73">
        <f>VLOOKUP(C73,Lookups!$E$2:$F$47,2,FALSE)</f>
        <v>0.77</v>
      </c>
      <c r="E73" s="30"/>
      <c r="F73" s="29" t="str">
        <f t="shared" si="36"/>
        <v/>
      </c>
      <c r="G73" t="str">
        <f>IF(F73="","",_xlfn.RANK.EQ(F73,$F$66:$F$85,1)+COUNTIF($F$66:F95,F73)-1)</f>
        <v/>
      </c>
      <c r="H73" s="19" t="str">
        <f t="shared" si="37"/>
        <v/>
      </c>
      <c r="I73" s="18" t="str">
        <f t="shared" si="38"/>
        <v/>
      </c>
      <c r="J73" s="17" t="str">
        <f t="shared" si="39"/>
        <v/>
      </c>
      <c r="K73" s="16" t="str">
        <f t="shared" si="40"/>
        <v>~</v>
      </c>
    </row>
    <row r="74" spans="1:11" x14ac:dyDescent="0.25">
      <c r="B74" t="s">
        <v>112</v>
      </c>
      <c r="C74" t="s">
        <v>17</v>
      </c>
      <c r="D74">
        <f>VLOOKUP(C74,Lookups!$E$2:$F$47,2,FALSE)</f>
        <v>0.7</v>
      </c>
      <c r="E74" s="30"/>
      <c r="F74" s="29" t="str">
        <f t="shared" si="36"/>
        <v/>
      </c>
      <c r="G74" t="str">
        <f>IF(F74="","",_xlfn.RANK.EQ(F74,$F$66:$F$85,1)+COUNTIF($F$66:F96,F74)-1)</f>
        <v/>
      </c>
      <c r="H74" s="19" t="str">
        <f t="shared" si="37"/>
        <v/>
      </c>
      <c r="I74" s="18" t="str">
        <f t="shared" si="38"/>
        <v/>
      </c>
      <c r="J74" s="17" t="str">
        <f t="shared" si="39"/>
        <v/>
      </c>
      <c r="K74" s="16" t="str">
        <f t="shared" si="40"/>
        <v>~</v>
      </c>
    </row>
    <row r="75" spans="1:11" x14ac:dyDescent="0.25">
      <c r="B75" t="s">
        <v>113</v>
      </c>
      <c r="C75" t="s">
        <v>47</v>
      </c>
      <c r="D75">
        <f>VLOOKUP(C75,Lookups!$E$2:$F$47,2,FALSE)</f>
        <v>0.8</v>
      </c>
      <c r="E75" s="30"/>
      <c r="F75" s="29" t="str">
        <f t="shared" si="36"/>
        <v/>
      </c>
      <c r="G75" t="str">
        <f>IF(F75="","",_xlfn.RANK.EQ(F75,$F$66:$F$85,1)+COUNTIF($F$66:F97,F75)-1)</f>
        <v/>
      </c>
      <c r="H75" s="19" t="str">
        <f t="shared" si="37"/>
        <v/>
      </c>
      <c r="I75" s="18" t="str">
        <f t="shared" si="38"/>
        <v/>
      </c>
      <c r="J75" s="17" t="str">
        <f t="shared" si="39"/>
        <v/>
      </c>
      <c r="K75" s="16" t="str">
        <f t="shared" si="40"/>
        <v>~</v>
      </c>
    </row>
    <row r="76" spans="1:11" x14ac:dyDescent="0.25">
      <c r="A76">
        <v>5</v>
      </c>
      <c r="B76" t="s">
        <v>125</v>
      </c>
      <c r="C76" t="s">
        <v>49</v>
      </c>
      <c r="D76">
        <f>VLOOKUP(C76,Lookups!$E$2:$F$47,2,FALSE)</f>
        <v>0.7</v>
      </c>
      <c r="E76" s="30"/>
      <c r="F76" s="29" t="str">
        <f t="shared" si="31"/>
        <v/>
      </c>
      <c r="G76" t="str">
        <f>IF(F76="","",_xlfn.RANK.EQ(F76,$F$66:$F$85,1)+COUNTIF($F$66:F89,F76)-1)</f>
        <v/>
      </c>
      <c r="H76" s="19" t="str">
        <f t="shared" si="32"/>
        <v/>
      </c>
      <c r="I76" s="18" t="str">
        <f t="shared" si="33"/>
        <v/>
      </c>
      <c r="J76" s="17" t="str">
        <f t="shared" si="34"/>
        <v/>
      </c>
      <c r="K76" s="16" t="str">
        <f t="shared" si="35"/>
        <v>~</v>
      </c>
    </row>
    <row r="77" spans="1:11" x14ac:dyDescent="0.25">
      <c r="A77">
        <v>6</v>
      </c>
      <c r="B77" t="s">
        <v>69</v>
      </c>
      <c r="C77" t="s">
        <v>70</v>
      </c>
      <c r="D77">
        <f>VLOOKUP(C77,Lookups!$E$2:$F$47,2,FALSE)</f>
        <v>0.71</v>
      </c>
      <c r="E77" s="30"/>
      <c r="F77" s="29" t="str">
        <f t="shared" si="31"/>
        <v/>
      </c>
      <c r="G77" t="str">
        <f>IF(F77="","",_xlfn.RANK.EQ(F77,$F$66:$F$85,1)+COUNTIF($F$66:F90,F77)-1)</f>
        <v/>
      </c>
      <c r="H77" s="19" t="str">
        <f t="shared" si="32"/>
        <v/>
      </c>
      <c r="I77" s="18" t="str">
        <f t="shared" si="33"/>
        <v/>
      </c>
      <c r="J77" s="17" t="str">
        <f t="shared" si="34"/>
        <v/>
      </c>
      <c r="K77" s="16" t="str">
        <f t="shared" si="35"/>
        <v>~</v>
      </c>
    </row>
    <row r="78" spans="1:11" x14ac:dyDescent="0.25">
      <c r="A78">
        <v>7</v>
      </c>
      <c r="B78" t="s">
        <v>71</v>
      </c>
      <c r="C78" t="s">
        <v>72</v>
      </c>
      <c r="D78">
        <f>VLOOKUP(C78,Lookups!$E$2:$F$47,2,FALSE)</f>
        <v>0.6</v>
      </c>
      <c r="E78" s="30"/>
      <c r="F78" s="29" t="str">
        <f t="shared" si="31"/>
        <v/>
      </c>
      <c r="G78" t="str">
        <f>IF(F78="","",_xlfn.RANK.EQ(F78,$F$66:$F$85,1)+COUNTIF($F$66:F91,F78)-1)</f>
        <v/>
      </c>
      <c r="H78" s="19" t="str">
        <f t="shared" si="32"/>
        <v/>
      </c>
      <c r="I78" s="18" t="str">
        <f t="shared" si="33"/>
        <v/>
      </c>
      <c r="J78" s="17" t="str">
        <f t="shared" si="34"/>
        <v/>
      </c>
      <c r="K78" s="16" t="str">
        <f t="shared" si="35"/>
        <v>~</v>
      </c>
    </row>
    <row r="79" spans="1:11" x14ac:dyDescent="0.25">
      <c r="A79">
        <v>8</v>
      </c>
      <c r="B79" t="s">
        <v>73</v>
      </c>
      <c r="C79" t="s">
        <v>63</v>
      </c>
      <c r="D79">
        <f>VLOOKUP(C79,Lookups!$E$2:$F$47,2,FALSE)</f>
        <v>0.62</v>
      </c>
      <c r="E79" s="30"/>
      <c r="F79" s="29" t="str">
        <f t="shared" si="31"/>
        <v/>
      </c>
      <c r="G79" t="str">
        <f>IF(F79="","",_xlfn.RANK.EQ(F79,$F$66:$F$85,1)+COUNTIF($F$66:F95,F79)-1)</f>
        <v/>
      </c>
      <c r="H79" s="19" t="str">
        <f t="shared" si="32"/>
        <v/>
      </c>
      <c r="I79" s="18" t="str">
        <f t="shared" si="33"/>
        <v/>
      </c>
      <c r="J79" s="17" t="str">
        <f t="shared" si="34"/>
        <v/>
      </c>
      <c r="K79" s="16" t="str">
        <f t="shared" si="35"/>
        <v>~</v>
      </c>
    </row>
    <row r="80" spans="1:11" x14ac:dyDescent="0.25">
      <c r="A80">
        <v>9</v>
      </c>
      <c r="B80" t="s">
        <v>74</v>
      </c>
      <c r="C80" t="s">
        <v>34</v>
      </c>
      <c r="D80">
        <f>VLOOKUP(C80,Lookups!$E$2:$F$47,2,FALSE)</f>
        <v>0.8</v>
      </c>
      <c r="E80" s="30"/>
      <c r="F80" s="29" t="str">
        <f t="shared" si="31"/>
        <v/>
      </c>
      <c r="G80" t="str">
        <f>IF(F80="","",_xlfn.RANK.EQ(F80,$F$66:$F$85,1)+COUNTIF($F$66:F96,F80)-1)</f>
        <v/>
      </c>
      <c r="H80" s="19" t="str">
        <f t="shared" si="32"/>
        <v/>
      </c>
      <c r="I80" s="18" t="str">
        <f t="shared" si="33"/>
        <v/>
      </c>
      <c r="J80" s="17" t="str">
        <f t="shared" si="34"/>
        <v/>
      </c>
      <c r="K80" s="16" t="str">
        <f t="shared" si="35"/>
        <v>~</v>
      </c>
    </row>
    <row r="81" spans="1:11" x14ac:dyDescent="0.25">
      <c r="A81">
        <v>10</v>
      </c>
      <c r="B81" t="s">
        <v>75</v>
      </c>
      <c r="C81" t="s">
        <v>21</v>
      </c>
      <c r="D81">
        <f>VLOOKUP(C81,Lookups!$E$2:$F$47,2,FALSE)</f>
        <v>0.84</v>
      </c>
      <c r="E81" s="30"/>
      <c r="F81" s="29" t="str">
        <f t="shared" si="31"/>
        <v/>
      </c>
      <c r="G81" t="str">
        <f>IF(F81="","",_xlfn.RANK.EQ(F81,$F$66:$F$85,1)+COUNTIF($F$66:F97,F81)-1)</f>
        <v/>
      </c>
      <c r="H81" s="19" t="str">
        <f t="shared" si="32"/>
        <v/>
      </c>
      <c r="I81" s="18" t="str">
        <f t="shared" si="33"/>
        <v/>
      </c>
      <c r="J81" s="17" t="str">
        <f t="shared" si="34"/>
        <v/>
      </c>
      <c r="K81" s="16" t="str">
        <f t="shared" si="35"/>
        <v>~</v>
      </c>
    </row>
    <row r="82" spans="1:11" x14ac:dyDescent="0.25">
      <c r="A82">
        <v>11</v>
      </c>
      <c r="B82" t="s">
        <v>76</v>
      </c>
      <c r="C82" t="s">
        <v>19</v>
      </c>
      <c r="D82">
        <f>VLOOKUP(C82,Lookups!$E$2:$F$47,2,FALSE)</f>
        <v>0.63</v>
      </c>
      <c r="E82" s="30">
        <v>4.9629629629629635E-2</v>
      </c>
      <c r="F82" s="29">
        <f t="shared" si="31"/>
        <v>3.1266666666666672E-2</v>
      </c>
      <c r="G82">
        <f>IF(F82="","",_xlfn.RANK.EQ(F82,$F$66:$F$85,1)+COUNTIF($F$66:F98,F82)-1)</f>
        <v>1</v>
      </c>
      <c r="H82" s="19">
        <f t="shared" si="32"/>
        <v>1200</v>
      </c>
      <c r="I82" s="18">
        <f t="shared" si="33"/>
        <v>1000</v>
      </c>
      <c r="J82" s="17">
        <f t="shared" si="34"/>
        <v>1000</v>
      </c>
      <c r="K82" s="16">
        <f t="shared" si="35"/>
        <v>1000</v>
      </c>
    </row>
    <row r="83" spans="1:11" x14ac:dyDescent="0.25">
      <c r="A83">
        <v>12</v>
      </c>
      <c r="B83" t="s">
        <v>77</v>
      </c>
      <c r="C83" t="s">
        <v>49</v>
      </c>
      <c r="D83">
        <f>VLOOKUP(C83,Lookups!$E$2:$F$47,2,FALSE)</f>
        <v>0.7</v>
      </c>
      <c r="E83" s="30">
        <v>4.854166666666667E-2</v>
      </c>
      <c r="F83" s="29">
        <f t="shared" si="31"/>
        <v>3.3979166666666664E-2</v>
      </c>
      <c r="G83">
        <f>IF(F83="","",_xlfn.RANK.EQ(F83,$F$66:$F$85,1)+COUNTIF($F$66:F99,F83)-1)</f>
        <v>2</v>
      </c>
      <c r="H83" s="19">
        <f t="shared" si="32"/>
        <v>800</v>
      </c>
      <c r="I83" s="18">
        <f t="shared" si="33"/>
        <v>920.17167381974275</v>
      </c>
      <c r="J83" s="17">
        <f t="shared" si="34"/>
        <v>991.32462686567169</v>
      </c>
      <c r="K83" s="16">
        <f t="shared" si="35"/>
        <v>997</v>
      </c>
    </row>
    <row r="84" spans="1:11" x14ac:dyDescent="0.25">
      <c r="A84">
        <v>13</v>
      </c>
      <c r="B84" t="s">
        <v>57</v>
      </c>
      <c r="C84" t="s">
        <v>49</v>
      </c>
      <c r="D84">
        <f>VLOOKUP(C84,Lookups!$E$2:$F$47,2,FALSE)</f>
        <v>0.7</v>
      </c>
      <c r="E84" s="30"/>
      <c r="F84" s="29" t="str">
        <f t="shared" si="31"/>
        <v/>
      </c>
      <c r="G84" t="str">
        <f>IF(F84="","",_xlfn.RANK.EQ(F84,$F$66:$F$85,1)+COUNTIF($F$66:F100,F84)-1)</f>
        <v/>
      </c>
      <c r="H84" s="19" t="str">
        <f t="shared" si="32"/>
        <v/>
      </c>
      <c r="I84" s="18" t="str">
        <f t="shared" si="33"/>
        <v/>
      </c>
      <c r="J84" s="17" t="str">
        <f t="shared" si="34"/>
        <v/>
      </c>
      <c r="K84" s="16" t="str">
        <f t="shared" si="35"/>
        <v>~</v>
      </c>
    </row>
    <row r="85" spans="1:11" x14ac:dyDescent="0.25">
      <c r="A85">
        <v>14</v>
      </c>
      <c r="B85" t="s">
        <v>79</v>
      </c>
      <c r="C85" t="s">
        <v>80</v>
      </c>
      <c r="D85">
        <f>VLOOKUP(C85,Lookups!$E$2:$F$47,2,FALSE)</f>
        <v>0.53</v>
      </c>
      <c r="E85" s="30"/>
      <c r="F85" s="29" t="str">
        <f t="shared" si="31"/>
        <v/>
      </c>
      <c r="G85" t="str">
        <f>IF(F85="","",_xlfn.RANK.EQ(F85,$F$66:$F$85,1)+COUNTIF($F$66:F101,F85)-1)</f>
        <v/>
      </c>
      <c r="H85" s="19" t="str">
        <f t="shared" si="32"/>
        <v/>
      </c>
      <c r="I85" s="18" t="str">
        <f t="shared" si="33"/>
        <v/>
      </c>
      <c r="J85" s="17" t="str">
        <f t="shared" si="34"/>
        <v/>
      </c>
      <c r="K85" s="16" t="str">
        <f t="shared" si="35"/>
        <v>~</v>
      </c>
    </row>
    <row r="86" spans="1:11" x14ac:dyDescent="0.25">
      <c r="E86" s="26"/>
    </row>
    <row r="87" spans="1:11" x14ac:dyDescent="0.25">
      <c r="A87" t="s">
        <v>81</v>
      </c>
      <c r="E87" s="26"/>
    </row>
    <row r="88" spans="1:11" ht="30" x14ac:dyDescent="0.25">
      <c r="A88" t="s">
        <v>8</v>
      </c>
      <c r="B88" t="s">
        <v>9</v>
      </c>
      <c r="C88" t="s">
        <v>10</v>
      </c>
      <c r="D88" t="s">
        <v>54</v>
      </c>
      <c r="E88" s="27" t="s">
        <v>95</v>
      </c>
      <c r="F88" s="24" t="s">
        <v>94</v>
      </c>
      <c r="G88" s="24" t="s">
        <v>8</v>
      </c>
      <c r="H88" s="23" t="s">
        <v>93</v>
      </c>
      <c r="I88" s="22" t="s">
        <v>92</v>
      </c>
      <c r="J88" s="21" t="s">
        <v>91</v>
      </c>
      <c r="K88" s="20" t="s">
        <v>90</v>
      </c>
    </row>
    <row r="89" spans="1:11" x14ac:dyDescent="0.25">
      <c r="A89">
        <v>1</v>
      </c>
      <c r="B89" t="s">
        <v>65</v>
      </c>
      <c r="C89" t="s">
        <v>108</v>
      </c>
      <c r="D89">
        <f>VLOOKUP(C89,Lookups!$E$2:$F$47,2,FALSE)</f>
        <v>0.65</v>
      </c>
      <c r="E89" s="30">
        <v>3.1412037037037037E-2</v>
      </c>
      <c r="F89" s="29">
        <f>IF(E89="","",E89*D89)</f>
        <v>2.0417824074074074E-2</v>
      </c>
      <c r="G89">
        <f>IF(F89="","",_xlfn.RANK.EQ(F89,$F$89:$F$102,1)+COUNTIF($F$89:F102,F89)-1)</f>
        <v>1</v>
      </c>
      <c r="H89" s="19" t="str">
        <f>IFERROR((1000+200*(AVERAGE($F$89:$F$102)-F89)/_xlfn.STDEV.P($F$89:$F$102)),"")</f>
        <v/>
      </c>
      <c r="I89" s="18">
        <f>IFERROR(((1000*SMALL($F$89:$F$102,1)/F89)),"")</f>
        <v>999.99999999999989</v>
      </c>
      <c r="J89" s="17">
        <f>IF(E89="","",IF(F89&gt;=2*SMALL($F$89:$F$102,1),0,1000-((F89-SMALL($F$89:$F$102,1))/SMALL($F$89:$F$102,1)*100)))</f>
        <v>1000</v>
      </c>
      <c r="K89" s="16">
        <f>IFERROR((1000-MINUTE(F89-SMALL($F$89:$F$102,1))),"~")</f>
        <v>1000</v>
      </c>
    </row>
    <row r="90" spans="1:11" x14ac:dyDescent="0.25">
      <c r="A90">
        <v>2</v>
      </c>
      <c r="B90" t="s">
        <v>68</v>
      </c>
      <c r="C90" t="s">
        <v>63</v>
      </c>
      <c r="D90">
        <f>VLOOKUP(C90,Lookups!$E$2:$F$47,2,FALSE)</f>
        <v>0.62</v>
      </c>
      <c r="E90" s="30"/>
      <c r="F90" s="29" t="str">
        <f t="shared" ref="F90:F102" si="41">IF(E90="","",E90*D90)</f>
        <v/>
      </c>
      <c r="G90" t="str">
        <f>IF(F90="","",_xlfn.RANK.EQ(F90,$F$89:$F$102,1)+COUNTIF($F$89:F103,F90)-1)</f>
        <v/>
      </c>
      <c r="H90" s="19" t="str">
        <f t="shared" ref="H90:H102" si="42">IFERROR((1000+200*(AVERAGE($F$89:$F$102)-F90)/_xlfn.STDEV.P($F$89:$F$102)),"")</f>
        <v/>
      </c>
      <c r="I90" s="18" t="str">
        <f t="shared" ref="I90:I102" si="43">IFERROR(((1000*SMALL($F$89:$F$102,1)/F90)),"")</f>
        <v/>
      </c>
      <c r="J90" s="17" t="str">
        <f t="shared" ref="J90:J102" si="44">IF(E90="","",IF(F90&gt;=2*SMALL($F$89:$F$102,1),0,1000-((F90-SMALL($F$89:$F$102,1))/SMALL($F$89:$F$102,1)*100)))</f>
        <v/>
      </c>
      <c r="K90" s="16" t="str">
        <f t="shared" ref="K90:K102" si="45">IFERROR((1000-MINUTE(F90-SMALL($F$89:$F$102,1))),"~")</f>
        <v>~</v>
      </c>
    </row>
    <row r="91" spans="1:11" x14ac:dyDescent="0.25">
      <c r="A91">
        <v>3</v>
      </c>
      <c r="B91" t="s">
        <v>71</v>
      </c>
      <c r="C91" t="s">
        <v>72</v>
      </c>
      <c r="D91">
        <f>VLOOKUP(C91,Lookups!$E$2:$F$47,2,FALSE)</f>
        <v>0.6</v>
      </c>
      <c r="E91" s="30"/>
      <c r="F91" s="29" t="str">
        <f t="shared" si="41"/>
        <v/>
      </c>
      <c r="G91" t="str">
        <f>IF(F91="","",_xlfn.RANK.EQ(F91,$F$89:$F$102,1)+COUNTIF($F$89:F104,F91)-1)</f>
        <v/>
      </c>
      <c r="H91" s="19" t="str">
        <f t="shared" si="42"/>
        <v/>
      </c>
      <c r="I91" s="18" t="str">
        <f t="shared" si="43"/>
        <v/>
      </c>
      <c r="J91" s="17" t="str">
        <f t="shared" si="44"/>
        <v/>
      </c>
      <c r="K91" s="16" t="str">
        <f t="shared" si="45"/>
        <v>~</v>
      </c>
    </row>
    <row r="92" spans="1:11" x14ac:dyDescent="0.25">
      <c r="B92" t="s">
        <v>120</v>
      </c>
      <c r="C92" t="s">
        <v>72</v>
      </c>
      <c r="D92">
        <f>VLOOKUP(C92,Lookups!$E$2:$F$47,2,FALSE)</f>
        <v>0.6</v>
      </c>
      <c r="E92" s="30"/>
      <c r="F92" s="29" t="str">
        <f t="shared" ref="F92:F94" si="46">IF(E92="","",E92*D92)</f>
        <v/>
      </c>
      <c r="G92" t="str">
        <f>IF(F92="","",_xlfn.RANK.EQ(F92,$F$89:$F$102,1)+COUNTIF($F$89:F105,F92)-1)</f>
        <v/>
      </c>
      <c r="H92" s="19" t="str">
        <f t="shared" ref="H92:H94" si="47">IFERROR((1000+200*(AVERAGE($F$89:$F$102)-F92)/_xlfn.STDEV.P($F$89:$F$102)),"")</f>
        <v/>
      </c>
      <c r="I92" s="18" t="str">
        <f t="shared" ref="I92:I94" si="48">IFERROR(((1000*SMALL($F$89:$F$102,1)/F92)),"")</f>
        <v/>
      </c>
      <c r="J92" s="17" t="str">
        <f t="shared" ref="J92:J94" si="49">IF(E92="","",IF(F92&gt;=2*SMALL($F$89:$F$102,1),0,1000-((F92-SMALL($F$89:$F$102,1))/SMALL($F$89:$F$102,1)*100)))</f>
        <v/>
      </c>
      <c r="K92" s="16" t="str">
        <f t="shared" ref="K92:K94" si="50">IFERROR((1000-MINUTE(F92-SMALL($F$89:$F$102,1))),"~")</f>
        <v>~</v>
      </c>
    </row>
    <row r="93" spans="1:11" x14ac:dyDescent="0.25">
      <c r="B93" t="s">
        <v>122</v>
      </c>
      <c r="C93" t="s">
        <v>66</v>
      </c>
      <c r="D93">
        <f>VLOOKUP(C93,Lookups!$E$2:$F$47,2,FALSE)</f>
        <v>0.57999999999999996</v>
      </c>
      <c r="E93" s="30"/>
      <c r="F93" s="29" t="str">
        <f t="shared" si="46"/>
        <v/>
      </c>
      <c r="G93" t="str">
        <f>IF(F93="","",_xlfn.RANK.EQ(F93,$F$89:$F$102,1)+COUNTIF($F$89:F106,F93)-1)</f>
        <v/>
      </c>
      <c r="H93" s="19" t="str">
        <f t="shared" si="47"/>
        <v/>
      </c>
      <c r="I93" s="18" t="str">
        <f t="shared" si="48"/>
        <v/>
      </c>
      <c r="J93" s="17" t="str">
        <f t="shared" si="49"/>
        <v/>
      </c>
      <c r="K93" s="16" t="str">
        <f t="shared" si="50"/>
        <v>~</v>
      </c>
    </row>
    <row r="94" spans="1:11" x14ac:dyDescent="0.25">
      <c r="B94" t="s">
        <v>121</v>
      </c>
      <c r="C94" t="s">
        <v>72</v>
      </c>
      <c r="D94">
        <f>VLOOKUP(C94,Lookups!$E$2:$F$47,2,FALSE)</f>
        <v>0.6</v>
      </c>
      <c r="E94" s="30"/>
      <c r="F94" s="29" t="str">
        <f t="shared" si="46"/>
        <v/>
      </c>
      <c r="G94" t="str">
        <f>IF(F94="","",_xlfn.RANK.EQ(F94,$F$89:$F$102,1)+COUNTIF($F$89:F107,F94)-1)</f>
        <v/>
      </c>
      <c r="H94" s="19" t="str">
        <f t="shared" si="47"/>
        <v/>
      </c>
      <c r="I94" s="18" t="str">
        <f t="shared" si="48"/>
        <v/>
      </c>
      <c r="J94" s="17" t="str">
        <f t="shared" si="49"/>
        <v/>
      </c>
      <c r="K94" s="16" t="str">
        <f t="shared" si="50"/>
        <v>~</v>
      </c>
    </row>
    <row r="95" spans="1:11" x14ac:dyDescent="0.25">
      <c r="A95">
        <v>4</v>
      </c>
      <c r="B95" t="s">
        <v>83</v>
      </c>
      <c r="C95" t="s">
        <v>66</v>
      </c>
      <c r="D95">
        <f>VLOOKUP(C95,Lookups!$E$2:$F$47,2,FALSE)</f>
        <v>0.57999999999999996</v>
      </c>
      <c r="E95" s="30"/>
      <c r="F95" s="29" t="str">
        <f t="shared" si="41"/>
        <v/>
      </c>
      <c r="G95" t="str">
        <f>IF(F95="","",_xlfn.RANK.EQ(F95,$F$89:$F$102,1)+COUNTIF($F$89:F105,F95)-1)</f>
        <v/>
      </c>
      <c r="H95" s="19" t="str">
        <f t="shared" si="42"/>
        <v/>
      </c>
      <c r="I95" s="18" t="str">
        <f t="shared" si="43"/>
        <v/>
      </c>
      <c r="J95" s="17" t="str">
        <f t="shared" si="44"/>
        <v/>
      </c>
      <c r="K95" s="16" t="str">
        <f t="shared" si="45"/>
        <v>~</v>
      </c>
    </row>
    <row r="96" spans="1:11" x14ac:dyDescent="0.25">
      <c r="A96">
        <v>4</v>
      </c>
      <c r="B96" t="s">
        <v>112</v>
      </c>
      <c r="C96" t="s">
        <v>17</v>
      </c>
      <c r="D96">
        <f>VLOOKUP(C96,Lookups!$E$2:$F$47,2,FALSE)</f>
        <v>0.7</v>
      </c>
      <c r="E96" s="30"/>
      <c r="F96" s="29" t="str">
        <f t="shared" si="41"/>
        <v/>
      </c>
      <c r="G96" t="str">
        <f>IF(F96="","",_xlfn.RANK.EQ(F96,$F$89:$F$102,1)+COUNTIF($F$89:F106,F96)-1)</f>
        <v/>
      </c>
      <c r="H96" s="19" t="str">
        <f t="shared" si="42"/>
        <v/>
      </c>
      <c r="I96" s="18" t="str">
        <f t="shared" si="43"/>
        <v/>
      </c>
      <c r="J96" s="17" t="str">
        <f t="shared" si="44"/>
        <v/>
      </c>
      <c r="K96" s="16" t="str">
        <f t="shared" si="45"/>
        <v>~</v>
      </c>
    </row>
    <row r="97" spans="1:11" x14ac:dyDescent="0.25">
      <c r="A97">
        <v>6</v>
      </c>
      <c r="B97" t="s">
        <v>85</v>
      </c>
      <c r="C97" t="s">
        <v>72</v>
      </c>
      <c r="D97">
        <f>VLOOKUP(C97,Lookups!$E$2:$F$47,2,FALSE)</f>
        <v>0.6</v>
      </c>
      <c r="E97" s="30"/>
      <c r="F97" s="29" t="str">
        <f t="shared" si="41"/>
        <v/>
      </c>
      <c r="G97" t="str">
        <f>IF(F97="","",_xlfn.RANK.EQ(F97,$F$89:$F$102,1)+COUNTIF($F$89:F107,F97)-1)</f>
        <v/>
      </c>
      <c r="H97" s="19" t="str">
        <f t="shared" si="42"/>
        <v/>
      </c>
      <c r="I97" s="18" t="str">
        <f t="shared" si="43"/>
        <v/>
      </c>
      <c r="J97" s="17" t="str">
        <f t="shared" si="44"/>
        <v/>
      </c>
      <c r="K97" s="16" t="str">
        <f t="shared" si="45"/>
        <v>~</v>
      </c>
    </row>
    <row r="98" spans="1:11" x14ac:dyDescent="0.25">
      <c r="A98">
        <v>7</v>
      </c>
      <c r="B98" t="s">
        <v>57</v>
      </c>
      <c r="C98" t="s">
        <v>49</v>
      </c>
      <c r="D98">
        <f>VLOOKUP(C98,Lookups!$E$2:$F$47,2,FALSE)</f>
        <v>0.7</v>
      </c>
      <c r="E98" s="30"/>
      <c r="F98" s="29" t="str">
        <f t="shared" si="41"/>
        <v/>
      </c>
      <c r="G98" t="str">
        <f>IF(F98="","",_xlfn.RANK.EQ(F98,$F$89:$F$102,1)+COUNTIF($F$89:F108,F98)-1)</f>
        <v/>
      </c>
      <c r="H98" s="19" t="str">
        <f t="shared" si="42"/>
        <v/>
      </c>
      <c r="I98" s="18" t="str">
        <f t="shared" si="43"/>
        <v/>
      </c>
      <c r="J98" s="17" t="str">
        <f t="shared" si="44"/>
        <v/>
      </c>
      <c r="K98" s="16" t="str">
        <f t="shared" si="45"/>
        <v>~</v>
      </c>
    </row>
    <row r="99" spans="1:11" x14ac:dyDescent="0.25">
      <c r="A99">
        <v>8</v>
      </c>
      <c r="B99" t="s">
        <v>86</v>
      </c>
      <c r="C99" t="s">
        <v>66</v>
      </c>
      <c r="D99">
        <f>VLOOKUP(C99,Lookups!$E$2:$F$47,2,FALSE)</f>
        <v>0.57999999999999996</v>
      </c>
      <c r="E99" s="30"/>
      <c r="F99" s="29" t="str">
        <f t="shared" si="41"/>
        <v/>
      </c>
      <c r="G99" t="str">
        <f>IF(F99="","",_xlfn.RANK.EQ(F99,$F$89:$F$102,1)+COUNTIF($F$89:F109,F99)-1)</f>
        <v/>
      </c>
      <c r="H99" s="19" t="str">
        <f t="shared" si="42"/>
        <v/>
      </c>
      <c r="I99" s="18" t="str">
        <f t="shared" si="43"/>
        <v/>
      </c>
      <c r="J99" s="17" t="str">
        <f t="shared" si="44"/>
        <v/>
      </c>
      <c r="K99" s="16" t="str">
        <f t="shared" si="45"/>
        <v>~</v>
      </c>
    </row>
    <row r="100" spans="1:11" x14ac:dyDescent="0.25">
      <c r="A100">
        <v>9</v>
      </c>
      <c r="B100" t="s">
        <v>77</v>
      </c>
      <c r="C100" t="s">
        <v>34</v>
      </c>
      <c r="D100">
        <f>VLOOKUP(C100,Lookups!$E$2:$F$47,2,FALSE)</f>
        <v>0.8</v>
      </c>
      <c r="E100" s="30"/>
      <c r="F100" s="29" t="str">
        <f t="shared" si="41"/>
        <v/>
      </c>
      <c r="G100" t="str">
        <f>IF(F100="","",_xlfn.RANK.EQ(F100,$F$89:$F$102,1)+COUNTIF($F$89:F110,F100)-1)</f>
        <v/>
      </c>
      <c r="H100" s="19" t="str">
        <f t="shared" si="42"/>
        <v/>
      </c>
      <c r="I100" s="18" t="str">
        <f t="shared" si="43"/>
        <v/>
      </c>
      <c r="J100" s="17" t="str">
        <f t="shared" si="44"/>
        <v/>
      </c>
      <c r="K100" s="16" t="str">
        <f t="shared" si="45"/>
        <v>~</v>
      </c>
    </row>
    <row r="101" spans="1:11" x14ac:dyDescent="0.25">
      <c r="A101">
        <v>9</v>
      </c>
      <c r="B101" t="s">
        <v>88</v>
      </c>
      <c r="C101" t="s">
        <v>66</v>
      </c>
      <c r="D101">
        <f>VLOOKUP(C101,Lookups!$E$2:$F$47,2,FALSE)</f>
        <v>0.57999999999999996</v>
      </c>
      <c r="E101" s="30"/>
      <c r="F101" s="29" t="str">
        <f t="shared" si="41"/>
        <v/>
      </c>
      <c r="G101" t="str">
        <f>IF(F101="","",_xlfn.RANK.EQ(F101,$F$89:$F$102,1)+COUNTIF($F$89:F111,F101)-1)</f>
        <v/>
      </c>
      <c r="H101" s="19" t="str">
        <f t="shared" si="42"/>
        <v/>
      </c>
      <c r="I101" s="18" t="str">
        <f t="shared" si="43"/>
        <v/>
      </c>
      <c r="J101" s="17" t="str">
        <f t="shared" si="44"/>
        <v/>
      </c>
      <c r="K101" s="16" t="str">
        <f t="shared" si="45"/>
        <v>~</v>
      </c>
    </row>
    <row r="102" spans="1:11" x14ac:dyDescent="0.25">
      <c r="A102">
        <v>9</v>
      </c>
      <c r="B102" t="s">
        <v>89</v>
      </c>
      <c r="C102" t="s">
        <v>72</v>
      </c>
      <c r="D102">
        <f>VLOOKUP(C102,Lookups!$E$2:$F$47,2,FALSE)</f>
        <v>0.6</v>
      </c>
      <c r="E102" s="30"/>
      <c r="F102" s="29" t="str">
        <f t="shared" si="41"/>
        <v/>
      </c>
      <c r="G102" t="str">
        <f>IF(F102="","",_xlfn.RANK.EQ(F102,$F$89:$F$102,1)+COUNTIF($F$89:F112,F102)-1)</f>
        <v/>
      </c>
      <c r="H102" s="19" t="str">
        <f t="shared" si="42"/>
        <v/>
      </c>
      <c r="I102" s="18" t="str">
        <f t="shared" si="43"/>
        <v/>
      </c>
      <c r="J102" s="17" t="str">
        <f t="shared" si="44"/>
        <v/>
      </c>
      <c r="K102" s="16" t="str">
        <f t="shared" si="45"/>
        <v>~</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02"/>
  <sheetViews>
    <sheetView zoomScale="90" zoomScaleNormal="90" workbookViewId="0">
      <selection activeCell="B9" sqref="B9"/>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s>
  <sheetData>
    <row r="2" spans="1:19" x14ac:dyDescent="0.25">
      <c r="E2" s="30">
        <v>7.829861111111111E-2</v>
      </c>
      <c r="F2" s="29">
        <f>E2*D7</f>
        <v>6.2638888888888897E-2</v>
      </c>
    </row>
    <row r="5" spans="1:19" x14ac:dyDescent="0.25">
      <c r="A5" t="s">
        <v>7</v>
      </c>
    </row>
    <row r="6" spans="1:19" ht="30" x14ac:dyDescent="0.25">
      <c r="A6" s="24" t="s">
        <v>8</v>
      </c>
      <c r="B6" s="24" t="s">
        <v>9</v>
      </c>
      <c r="C6" s="24" t="s">
        <v>10</v>
      </c>
      <c r="D6" s="24" t="s">
        <v>12</v>
      </c>
      <c r="E6" s="28" t="s">
        <v>95</v>
      </c>
      <c r="F6" s="24" t="s">
        <v>94</v>
      </c>
      <c r="G6" s="24" t="s">
        <v>8</v>
      </c>
      <c r="H6" s="23" t="s">
        <v>93</v>
      </c>
      <c r="I6" s="22" t="s">
        <v>92</v>
      </c>
      <c r="J6" s="21" t="s">
        <v>91</v>
      </c>
      <c r="K6" s="20" t="s">
        <v>90</v>
      </c>
    </row>
    <row r="7" spans="1:19" x14ac:dyDescent="0.25">
      <c r="A7">
        <v>1</v>
      </c>
      <c r="B7" t="s">
        <v>16</v>
      </c>
      <c r="C7" t="s">
        <v>110</v>
      </c>
      <c r="D7">
        <f>VLOOKUP(C7,Lookups!$E$2:$F$47,2,FALSE)</f>
        <v>0.8</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J34" si="2">IF(E7="","",IF(F7&gt;=2*SMALL($F$7:$F$34,1),0,1000-((F7-SMALL($F$7:$F$34,1))/SMALL($F$7:$F$34,1)*100)))</f>
        <v/>
      </c>
      <c r="K7" s="16" t="str">
        <f t="shared" ref="K7:K34" si="3">IFERROR((1000-MINUTE(F7-SMALL($F$7:$F$34,1))),"~")</f>
        <v>~</v>
      </c>
    </row>
    <row r="8" spans="1:19" x14ac:dyDescent="0.25">
      <c r="A8">
        <v>2</v>
      </c>
      <c r="B8" t="s">
        <v>20</v>
      </c>
      <c r="C8" t="s">
        <v>39</v>
      </c>
      <c r="D8">
        <f>VLOOKUP(C8,Lookups!$E$2:$F$47,2,FALSE)</f>
        <v>0.9</v>
      </c>
      <c r="E8" s="30">
        <v>2.9953703703703705E-2</v>
      </c>
      <c r="F8" s="29">
        <f t="shared" si="0"/>
        <v>2.6958333333333334E-2</v>
      </c>
      <c r="G8">
        <f>IF(F8="","",_xlfn.RANK.EQ(F8,$F$7:$F$34,1)+COUNTIF($F$7:F8,F8)-1)</f>
        <v>1</v>
      </c>
      <c r="H8" s="19">
        <f t="shared" si="1"/>
        <v>1231.2358043754571</v>
      </c>
      <c r="I8" s="18">
        <f>IFERROR(((1000*SMALL($F$7:$F$34,1)/F8)),"")</f>
        <v>1000.0000000000001</v>
      </c>
      <c r="J8" s="17">
        <f t="shared" si="2"/>
        <v>1000</v>
      </c>
      <c r="K8" s="16">
        <f t="shared" si="3"/>
        <v>1000</v>
      </c>
    </row>
    <row r="9" spans="1:19" x14ac:dyDescent="0.25">
      <c r="A9">
        <v>3</v>
      </c>
      <c r="B9" t="s">
        <v>3</v>
      </c>
      <c r="C9" t="s">
        <v>19</v>
      </c>
      <c r="D9">
        <f>VLOOKUP(C9,Lookups!$E$2:$F$47,2,FALSE)</f>
        <v>0.63</v>
      </c>
      <c r="E9" s="30">
        <v>4.3900462962962961E-2</v>
      </c>
      <c r="F9" s="29">
        <f t="shared" si="0"/>
        <v>2.7657291666666667E-2</v>
      </c>
      <c r="G9">
        <f>IF(F9="","",_xlfn.RANK.EQ(F9,$F$7:$F$34,1)+COUNTIF($F$7:F9,F9)-1)</f>
        <v>3</v>
      </c>
      <c r="H9" s="19">
        <f t="shared" si="1"/>
        <v>1207.96212953138</v>
      </c>
      <c r="I9" s="18">
        <f t="shared" ref="I9:I34" si="4">IFERROR(((1000*SMALL($F$7:$F$34,1)/F9)),"")</f>
        <v>974.72788218899484</v>
      </c>
      <c r="J9" s="17">
        <f t="shared" si="2"/>
        <v>997.40726429675431</v>
      </c>
      <c r="K9" s="16">
        <f t="shared" si="3"/>
        <v>999</v>
      </c>
    </row>
    <row r="10" spans="1:19" x14ac:dyDescent="0.25">
      <c r="A10">
        <v>4</v>
      </c>
      <c r="B10" t="s">
        <v>23</v>
      </c>
      <c r="C10" t="s">
        <v>24</v>
      </c>
      <c r="D10">
        <f>VLOOKUP(C10,Lookups!$E$2:$F$47,2,FALSE)</f>
        <v>0.7</v>
      </c>
      <c r="E10" s="30">
        <v>5.5891203703703707E-2</v>
      </c>
      <c r="F10" s="29">
        <f t="shared" si="0"/>
        <v>3.9123842592592592E-2</v>
      </c>
      <c r="G10">
        <f>IF(F10="","",_xlfn.RANK.EQ(F10,$F$7:$F$34,1)+COUNTIF($F$7:F10,F10)-1)</f>
        <v>11</v>
      </c>
      <c r="H10" s="19">
        <f t="shared" si="1"/>
        <v>826.15284977023452</v>
      </c>
      <c r="I10" s="18">
        <f t="shared" si="4"/>
        <v>689.05126763896703</v>
      </c>
      <c r="J10" s="17">
        <f t="shared" si="2"/>
        <v>954.87291773999652</v>
      </c>
      <c r="K10" s="16">
        <f t="shared" si="3"/>
        <v>983</v>
      </c>
      <c r="Q10" s="25"/>
    </row>
    <row r="11" spans="1:19" x14ac:dyDescent="0.25">
      <c r="A11">
        <v>5</v>
      </c>
      <c r="B11" t="s">
        <v>6</v>
      </c>
      <c r="C11" t="s">
        <v>19</v>
      </c>
      <c r="D11">
        <f>VLOOKUP(C11,Lookups!$E$2:$F$47,2,FALSE)</f>
        <v>0.63</v>
      </c>
      <c r="E11" s="30">
        <v>5.6157407407407406E-2</v>
      </c>
      <c r="F11" s="29">
        <f t="shared" si="0"/>
        <v>3.5379166666666663E-2</v>
      </c>
      <c r="G11">
        <f>IF(F11="","",_xlfn.RANK.EQ(F11,$F$7:$F$34,1)+COUNTIF($F$7:F11,F11)-1)</f>
        <v>9</v>
      </c>
      <c r="H11" s="19">
        <f t="shared" si="1"/>
        <v>950.84178434636794</v>
      </c>
      <c r="I11" s="18">
        <f t="shared" si="4"/>
        <v>761.98327641031699</v>
      </c>
      <c r="J11" s="17">
        <f t="shared" si="2"/>
        <v>968.76352395672336</v>
      </c>
      <c r="K11" s="16">
        <f t="shared" si="3"/>
        <v>988</v>
      </c>
      <c r="S11">
        <f t="shared" ref="S11:S17" ca="1" si="5">RANDBETWEEN(45,200)</f>
        <v>90</v>
      </c>
    </row>
    <row r="12" spans="1:19" x14ac:dyDescent="0.25">
      <c r="A12">
        <v>6</v>
      </c>
      <c r="B12" t="s">
        <v>0</v>
      </c>
      <c r="C12" t="s">
        <v>27</v>
      </c>
      <c r="D12">
        <f>VLOOKUP(C12,Lookups!$E$2:$F$47,2,FALSE)</f>
        <v>0.86</v>
      </c>
      <c r="E12" s="30">
        <v>3.5092592592592592E-2</v>
      </c>
      <c r="F12" s="29">
        <f t="shared" si="0"/>
        <v>3.0179629629629629E-2</v>
      </c>
      <c r="G12">
        <f>IF(F12="","",_xlfn.RANK.EQ(F12,$F$7:$F$34,1)+COUNTIF($F$7:F12,F12)-1)</f>
        <v>5</v>
      </c>
      <c r="H12" s="19">
        <f t="shared" si="1"/>
        <v>1123.9741851901033</v>
      </c>
      <c r="I12" s="18">
        <f t="shared" si="4"/>
        <v>893.26256366202381</v>
      </c>
      <c r="J12" s="17">
        <f t="shared" si="2"/>
        <v>988.05083290400137</v>
      </c>
      <c r="K12" s="16">
        <f t="shared" si="3"/>
        <v>996</v>
      </c>
      <c r="S12">
        <f t="shared" ca="1" si="5"/>
        <v>76</v>
      </c>
    </row>
    <row r="13" spans="1:19" x14ac:dyDescent="0.25">
      <c r="A13">
        <v>7</v>
      </c>
      <c r="B13" t="s">
        <v>5</v>
      </c>
      <c r="C13" t="s">
        <v>43</v>
      </c>
      <c r="D13">
        <f>VLOOKUP(C13,Lookups!$E$2:$F$47,2,FALSE)</f>
        <v>0.64</v>
      </c>
      <c r="E13" s="30"/>
      <c r="F13" s="29" t="str">
        <f t="shared" si="0"/>
        <v/>
      </c>
      <c r="G13" t="str">
        <f>IF(F13="","",_xlfn.RANK.EQ(F13,$F$7:$F$34,1)+COUNTIF($F$7:F13,F13)-1)</f>
        <v/>
      </c>
      <c r="H13" s="19" t="str">
        <f t="shared" si="1"/>
        <v/>
      </c>
      <c r="I13" s="18" t="str">
        <f t="shared" si="4"/>
        <v/>
      </c>
      <c r="J13" s="17" t="str">
        <f t="shared" si="2"/>
        <v/>
      </c>
      <c r="K13" s="16" t="str">
        <f t="shared" si="3"/>
        <v>~</v>
      </c>
      <c r="S13">
        <f t="shared" ca="1" si="5"/>
        <v>72</v>
      </c>
    </row>
    <row r="14" spans="1:19" x14ac:dyDescent="0.25">
      <c r="A14">
        <v>8</v>
      </c>
      <c r="B14" t="s">
        <v>29</v>
      </c>
      <c r="C14" t="s">
        <v>39</v>
      </c>
      <c r="D14">
        <f>VLOOKUP(C14,Lookups!$E$2:$F$47,2,FALSE)</f>
        <v>0.9</v>
      </c>
      <c r="E14" s="30">
        <v>4.1562500000000002E-2</v>
      </c>
      <c r="F14" s="29">
        <f t="shared" si="0"/>
        <v>3.7406250000000002E-2</v>
      </c>
      <c r="G14">
        <f>IF(F14="","",_xlfn.RANK.EQ(F14,$F$7:$F$34,1)+COUNTIF($F$7:F14,F14)-1)</f>
        <v>10</v>
      </c>
      <c r="H14" s="19">
        <f t="shared" si="1"/>
        <v>883.34465879260631</v>
      </c>
      <c r="I14" s="18">
        <f t="shared" si="4"/>
        <v>720.6906154274576</v>
      </c>
      <c r="J14" s="17">
        <f t="shared" si="2"/>
        <v>961.24420401854718</v>
      </c>
      <c r="K14" s="16">
        <f t="shared" si="3"/>
        <v>985</v>
      </c>
      <c r="S14">
        <f t="shared" ca="1" si="5"/>
        <v>113</v>
      </c>
    </row>
    <row r="15" spans="1:19" x14ac:dyDescent="0.25">
      <c r="A15">
        <v>9</v>
      </c>
      <c r="B15" t="s">
        <v>30</v>
      </c>
      <c r="C15" t="s">
        <v>21</v>
      </c>
      <c r="D15">
        <f>VLOOKUP(C15,Lookups!$E$2:$F$47,2,FALSE)</f>
        <v>0.84</v>
      </c>
      <c r="E15" s="30"/>
      <c r="F15" s="29" t="str">
        <f t="shared" si="0"/>
        <v/>
      </c>
      <c r="G15" t="str">
        <f>IF(F15="","",_xlfn.RANK.EQ(F15,$F$7:$F$34,1)+COUNTIF($F$7:F15,F15)-1)</f>
        <v/>
      </c>
      <c r="H15" s="19" t="str">
        <f t="shared" si="1"/>
        <v/>
      </c>
      <c r="I15" s="18" t="str">
        <f t="shared" si="4"/>
        <v/>
      </c>
      <c r="J15" s="17" t="str">
        <f t="shared" si="2"/>
        <v/>
      </c>
      <c r="K15" s="16" t="str">
        <f t="shared" si="3"/>
        <v>~</v>
      </c>
      <c r="S15">
        <f t="shared" ca="1" si="5"/>
        <v>91</v>
      </c>
    </row>
    <row r="16" spans="1:19" x14ac:dyDescent="0.25">
      <c r="A16">
        <v>10</v>
      </c>
      <c r="B16" t="s">
        <v>25</v>
      </c>
      <c r="C16" t="s">
        <v>26</v>
      </c>
      <c r="D16">
        <f>VLOOKUP(C16,Lookups!$E$2:$F$47,2,FALSE)</f>
        <v>0.67</v>
      </c>
      <c r="E16" s="30">
        <v>4.3993055555555556E-2</v>
      </c>
      <c r="F16" s="29">
        <f t="shared" si="0"/>
        <v>2.9475347222222226E-2</v>
      </c>
      <c r="G16">
        <f>IF(F16="","",_xlfn.RANK.EQ(F16,$F$7:$F$34,1)+COUNTIF($F$7:F16,F16)-1)</f>
        <v>4</v>
      </c>
      <c r="H16" s="19">
        <f t="shared" si="1"/>
        <v>1147.4251392265676</v>
      </c>
      <c r="I16" s="18">
        <f t="shared" si="4"/>
        <v>914.60613271448597</v>
      </c>
      <c r="J16" s="17">
        <f t="shared" si="2"/>
        <v>990.66331787738284</v>
      </c>
      <c r="K16" s="16">
        <f t="shared" si="3"/>
        <v>997</v>
      </c>
      <c r="S16">
        <f t="shared" ca="1" si="5"/>
        <v>84</v>
      </c>
    </row>
    <row r="17" spans="1:19" x14ac:dyDescent="0.25">
      <c r="A17">
        <v>11</v>
      </c>
      <c r="B17" t="s">
        <v>105</v>
      </c>
      <c r="C17" t="s">
        <v>39</v>
      </c>
      <c r="D17">
        <f>VLOOKUP(C17,Lookups!$E$2:$F$47,2,FALSE)</f>
        <v>0.9</v>
      </c>
      <c r="E17" s="30"/>
      <c r="F17" s="29" t="str">
        <f t="shared" si="0"/>
        <v/>
      </c>
      <c r="G17" t="str">
        <f>IF(F17="","",_xlfn.RANK.EQ(F17,$F$7:$F$34,1)+COUNTIF($F$7:F17,F17)-1)</f>
        <v/>
      </c>
      <c r="H17" s="19" t="str">
        <f t="shared" si="1"/>
        <v/>
      </c>
      <c r="I17" s="18" t="str">
        <f t="shared" si="4"/>
        <v/>
      </c>
      <c r="J17" s="17" t="str">
        <f t="shared" si="2"/>
        <v/>
      </c>
      <c r="K17" s="16" t="str">
        <f t="shared" si="3"/>
        <v>~</v>
      </c>
      <c r="S17">
        <f t="shared" ca="1" si="5"/>
        <v>164</v>
      </c>
    </row>
    <row r="18" spans="1:19" x14ac:dyDescent="0.25">
      <c r="B18" t="s">
        <v>102</v>
      </c>
      <c r="C18" t="s">
        <v>103</v>
      </c>
      <c r="E18" s="30"/>
      <c r="F18" s="29" t="str">
        <f t="shared" ref="F18" si="6">IF(E18="","",E18*D18)</f>
        <v/>
      </c>
      <c r="G18" t="str">
        <f>IF(F18="","",_xlfn.RANK.EQ(F18,$F$7:$F$34,1)+COUNTIF($F$7:F18,F18)-1)</f>
        <v/>
      </c>
      <c r="H18" s="19" t="str">
        <f t="shared" ref="H18" si="7">IFERROR((1000+200*(AVERAGE($F$7:$F$34)-F18)/_xlfn.STDEV.P($F$7:$F$34)),"")</f>
        <v/>
      </c>
      <c r="I18" s="18" t="str">
        <f t="shared" ref="I18" si="8">IFERROR(((1000*SMALL($F$7:$F$34,1)/F18)),"")</f>
        <v/>
      </c>
      <c r="J18" s="17" t="str">
        <f t="shared" ref="J18" si="9">IF(E18="","",IF(F18&gt;=2*SMALL($F$7:$F$34,1),0,1000-((F18-SMALL($F$7:$F$34,1))/SMALL($F$7:$F$34,1)*100)))</f>
        <v/>
      </c>
      <c r="K18" s="16" t="str">
        <f t="shared" ref="K18" si="10">IFERROR((1000-MINUTE(F18-SMALL($F$7:$F$34,1))),"~")</f>
        <v>~</v>
      </c>
    </row>
    <row r="19" spans="1:19" x14ac:dyDescent="0.25">
      <c r="A19">
        <v>12</v>
      </c>
      <c r="B19" t="s">
        <v>32</v>
      </c>
      <c r="C19" t="s">
        <v>27</v>
      </c>
      <c r="D19">
        <f>VLOOKUP(C19,Lookups!$E$2:$F$47,2,FALSE)</f>
        <v>0.86</v>
      </c>
      <c r="E19" s="30"/>
      <c r="F19" s="29" t="str">
        <f t="shared" si="0"/>
        <v/>
      </c>
      <c r="G19" t="str">
        <f>IF(F19="","",_xlfn.RANK.EQ(F19,$F$7:$F$34,1)+COUNTIF($F$7:F19,F19)-1)</f>
        <v/>
      </c>
      <c r="H19" s="19" t="str">
        <f t="shared" si="1"/>
        <v/>
      </c>
      <c r="I19" s="18" t="str">
        <f t="shared" si="4"/>
        <v/>
      </c>
      <c r="J19" s="17" t="str">
        <f t="shared" si="2"/>
        <v/>
      </c>
      <c r="K19" s="16" t="str">
        <f t="shared" si="3"/>
        <v>~</v>
      </c>
    </row>
    <row r="20" spans="1:19" x14ac:dyDescent="0.25">
      <c r="A20">
        <v>13</v>
      </c>
      <c r="B20" t="s">
        <v>33</v>
      </c>
      <c r="C20" t="s">
        <v>34</v>
      </c>
      <c r="D20">
        <f>VLOOKUP(C20,Lookups!$E$2:$F$47,2,FALSE)</f>
        <v>0.8</v>
      </c>
      <c r="E20" s="30">
        <v>4.1261574074074069E-2</v>
      </c>
      <c r="F20" s="29">
        <f t="shared" si="0"/>
        <v>3.3009259259259259E-2</v>
      </c>
      <c r="G20">
        <f>IF(F20="","",_xlfn.RANK.EQ(F20,$F$7:$F$34,1)+COUNTIF($F$7:F20,F20)-1)</f>
        <v>8</v>
      </c>
      <c r="H20" s="19">
        <f t="shared" si="1"/>
        <v>1029.7541483316836</v>
      </c>
      <c r="I20" s="18">
        <f t="shared" si="4"/>
        <v>816.69004207573641</v>
      </c>
      <c r="J20" s="17">
        <f t="shared" si="2"/>
        <v>977.55452515885281</v>
      </c>
      <c r="K20" s="16">
        <f t="shared" si="3"/>
        <v>992</v>
      </c>
    </row>
    <row r="21" spans="1:19" x14ac:dyDescent="0.25">
      <c r="A21">
        <v>14</v>
      </c>
      <c r="B21" t="s">
        <v>35</v>
      </c>
      <c r="C21" t="s">
        <v>59</v>
      </c>
      <c r="D21">
        <f>VLOOKUP(C21,Lookups!$E$2:$F$47,2,FALSE)</f>
        <v>0.77</v>
      </c>
      <c r="E21" s="30">
        <v>6.1203703703703705E-2</v>
      </c>
      <c r="F21" s="29">
        <f t="shared" si="0"/>
        <v>4.712685185185185E-2</v>
      </c>
      <c r="G21">
        <f>IF(F21="","",_xlfn.RANK.EQ(F21,$F$7:$F$34,1)+COUNTIF($F$7:F21,F21)-1)</f>
        <v>13</v>
      </c>
      <c r="H21" s="19">
        <f t="shared" si="1"/>
        <v>559.67139244806992</v>
      </c>
      <c r="I21" s="18">
        <f t="shared" si="4"/>
        <v>572.03764465489132</v>
      </c>
      <c r="J21" s="17">
        <f t="shared" si="2"/>
        <v>925.18633007041046</v>
      </c>
      <c r="K21" s="16">
        <f t="shared" si="3"/>
        <v>971</v>
      </c>
    </row>
    <row r="22" spans="1:19" x14ac:dyDescent="0.25">
      <c r="A22">
        <v>15</v>
      </c>
      <c r="B22" t="s">
        <v>37</v>
      </c>
      <c r="C22" t="s">
        <v>27</v>
      </c>
      <c r="D22">
        <f>VLOOKUP(C22,Lookups!$E$2:$F$47,2,FALSE)</f>
        <v>0.86</v>
      </c>
      <c r="E22" s="30"/>
      <c r="F22" s="29" t="str">
        <f t="shared" si="0"/>
        <v/>
      </c>
      <c r="G22" t="str">
        <f>IF(F22="","",_xlfn.RANK.EQ(F22,$F$7:$F$34,1)+COUNTIF($F$7:F22,F22)-1)</f>
        <v/>
      </c>
      <c r="H22" s="19" t="str">
        <f t="shared" si="1"/>
        <v/>
      </c>
      <c r="I22" s="18" t="str">
        <f t="shared" si="4"/>
        <v/>
      </c>
      <c r="J22" s="17" t="str">
        <f t="shared" si="2"/>
        <v/>
      </c>
      <c r="K22" s="16" t="str">
        <f t="shared" si="3"/>
        <v>~</v>
      </c>
    </row>
    <row r="23" spans="1:19" x14ac:dyDescent="0.25">
      <c r="A23">
        <v>16</v>
      </c>
      <c r="B23" t="s">
        <v>38</v>
      </c>
      <c r="C23" t="s">
        <v>39</v>
      </c>
      <c r="D23">
        <f>VLOOKUP(C23,Lookups!$E$2:$F$47,2,FALSE)</f>
        <v>0.9</v>
      </c>
      <c r="E23" s="30">
        <v>4.7650462962962964E-2</v>
      </c>
      <c r="F23" s="29">
        <f t="shared" si="0"/>
        <v>4.2885416666666669E-2</v>
      </c>
      <c r="G23">
        <f>IF(F23="","",_xlfn.RANK.EQ(F23,$F$7:$F$34,1)+COUNTIF($F$7:F23,F23)-1)</f>
        <v>12</v>
      </c>
      <c r="H23" s="19">
        <f t="shared" si="1"/>
        <v>700.90124645304536</v>
      </c>
      <c r="I23" s="18">
        <f t="shared" si="4"/>
        <v>628.61306776779213</v>
      </c>
      <c r="J23" s="17">
        <f t="shared" si="2"/>
        <v>940.91962905718697</v>
      </c>
      <c r="K23" s="16">
        <f t="shared" si="3"/>
        <v>978</v>
      </c>
    </row>
    <row r="24" spans="1:19" x14ac:dyDescent="0.25">
      <c r="A24">
        <v>17</v>
      </c>
      <c r="B24" t="s">
        <v>1</v>
      </c>
      <c r="C24" t="s">
        <v>36</v>
      </c>
      <c r="D24">
        <f>VLOOKUP(C24,Lookups!$E$2:$F$47,2,FALSE)</f>
        <v>0.56999999999999995</v>
      </c>
      <c r="E24" s="30">
        <v>5.5671296296296302E-2</v>
      </c>
      <c r="F24" s="29">
        <f t="shared" si="0"/>
        <v>3.1732638888888887E-2</v>
      </c>
      <c r="G24">
        <f>IF(F24="","",_xlfn.RANK.EQ(F24,$F$7:$F$34,1)+COUNTIF($F$7:F24,F24)-1)</f>
        <v>6</v>
      </c>
      <c r="H24" s="19">
        <f t="shared" si="1"/>
        <v>1072.2626155497942</v>
      </c>
      <c r="I24" s="18">
        <f t="shared" si="4"/>
        <v>849.54590217748125</v>
      </c>
      <c r="J24" s="17">
        <f t="shared" si="2"/>
        <v>982.29005667181866</v>
      </c>
      <c r="K24" s="16">
        <f t="shared" si="3"/>
        <v>994</v>
      </c>
    </row>
    <row r="25" spans="1:19" x14ac:dyDescent="0.25">
      <c r="A25">
        <v>18</v>
      </c>
      <c r="B25" t="s">
        <v>40</v>
      </c>
      <c r="C25" t="s">
        <v>17</v>
      </c>
      <c r="D25">
        <f>VLOOKUP(C25,Lookups!$E$2:$F$47,2,FALSE)</f>
        <v>0.7</v>
      </c>
      <c r="E25" s="30">
        <v>3.9004629629629632E-2</v>
      </c>
      <c r="F25" s="29">
        <f t="shared" si="0"/>
        <v>2.7303240740740743E-2</v>
      </c>
      <c r="G25">
        <f>IF(F25="","",_xlfn.RANK.EQ(F25,$F$7:$F$34,1)+COUNTIF($F$7:F25,F25)-1)</f>
        <v>2</v>
      </c>
      <c r="H25" s="19">
        <f t="shared" si="1"/>
        <v>1219.7511958251425</v>
      </c>
      <c r="I25" s="18">
        <f t="shared" si="4"/>
        <v>987.36752861381945</v>
      </c>
      <c r="J25" s="17">
        <f t="shared" si="2"/>
        <v>998.72059076077619</v>
      </c>
      <c r="K25" s="16">
        <f t="shared" si="3"/>
        <v>1000</v>
      </c>
    </row>
    <row r="26" spans="1:19" x14ac:dyDescent="0.25">
      <c r="A26">
        <v>19</v>
      </c>
      <c r="B26" t="s">
        <v>41</v>
      </c>
      <c r="C26" t="s">
        <v>17</v>
      </c>
      <c r="D26">
        <f>VLOOKUP(C26,Lookups!$E$2:$F$47,2,FALSE)</f>
        <v>0.7</v>
      </c>
      <c r="E26" s="30"/>
      <c r="F26" s="29" t="str">
        <f t="shared" si="0"/>
        <v/>
      </c>
      <c r="G26" t="str">
        <f>IF(F26="","",_xlfn.RANK.EQ(F26,$F$7:$F$34,1)+COUNTIF($F$7:F26,F26)-1)</f>
        <v/>
      </c>
      <c r="H26" s="19" t="str">
        <f t="shared" si="1"/>
        <v/>
      </c>
      <c r="I26" s="18" t="str">
        <f t="shared" si="4"/>
        <v/>
      </c>
      <c r="J26" s="17" t="str">
        <f t="shared" si="2"/>
        <v/>
      </c>
      <c r="K26" s="16" t="str">
        <f t="shared" si="3"/>
        <v>~</v>
      </c>
    </row>
    <row r="27" spans="1:19" x14ac:dyDescent="0.25">
      <c r="A27">
        <v>20</v>
      </c>
      <c r="B27" t="s">
        <v>44</v>
      </c>
      <c r="C27" t="s">
        <v>45</v>
      </c>
      <c r="D27">
        <f>VLOOKUP(C27,Lookups!$E$2:$F$47,2,FALSE)</f>
        <v>0.67</v>
      </c>
      <c r="E27" s="30">
        <v>4.8506944444444443E-2</v>
      </c>
      <c r="F27" s="29">
        <f t="shared" si="0"/>
        <v>3.2499652777777777E-2</v>
      </c>
      <c r="G27">
        <f>IF(F27="","",_xlfn.RANK.EQ(F27,$F$7:$F$34,1)+COUNTIF($F$7:F27,F27)-1)</f>
        <v>7</v>
      </c>
      <c r="H27" s="19">
        <f t="shared" si="1"/>
        <v>1046.7228501595478</v>
      </c>
      <c r="I27" s="18">
        <f t="shared" si="4"/>
        <v>829.4960416243764</v>
      </c>
      <c r="J27" s="17">
        <f t="shared" si="2"/>
        <v>979.44487377640394</v>
      </c>
      <c r="K27" s="16">
        <f t="shared" si="3"/>
        <v>993</v>
      </c>
    </row>
    <row r="28" spans="1:19"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4"/>
        <v/>
      </c>
      <c r="J28" s="17" t="str">
        <f t="shared" si="2"/>
        <v/>
      </c>
      <c r="K28" s="16" t="str">
        <f t="shared" si="3"/>
        <v>~</v>
      </c>
    </row>
    <row r="29" spans="1:19" x14ac:dyDescent="0.25">
      <c r="A29">
        <v>22</v>
      </c>
      <c r="B29" t="s">
        <v>106</v>
      </c>
      <c r="C29" t="s">
        <v>45</v>
      </c>
      <c r="D29">
        <f>VLOOKUP(C29,Lookups!$E$2:$F$47,2,FALSE)</f>
        <v>0.67</v>
      </c>
      <c r="E29" s="30"/>
      <c r="F29" s="29" t="str">
        <f t="shared" si="0"/>
        <v/>
      </c>
      <c r="G29" t="str">
        <f>IF(F29="","",_xlfn.RANK.EQ(F29,$F$7:$F$34,1)+COUNTIF($F$7:F29,F29)-1)</f>
        <v/>
      </c>
      <c r="H29" s="19" t="str">
        <f t="shared" si="1"/>
        <v/>
      </c>
      <c r="I29" s="18" t="str">
        <f t="shared" si="4"/>
        <v/>
      </c>
      <c r="J29" s="17" t="str">
        <f t="shared" si="2"/>
        <v/>
      </c>
      <c r="K29" s="16" t="str">
        <f t="shared" si="3"/>
        <v>~</v>
      </c>
    </row>
    <row r="30" spans="1:19" x14ac:dyDescent="0.25">
      <c r="A30">
        <v>23</v>
      </c>
      <c r="B30" t="s">
        <v>46</v>
      </c>
      <c r="C30" t="s">
        <v>47</v>
      </c>
      <c r="D30">
        <f>VLOOKUP(C30,Lookups!$E$2:$F$47,2,FALSE)</f>
        <v>0.8</v>
      </c>
      <c r="E30" s="30"/>
      <c r="F30" s="29" t="str">
        <f t="shared" si="0"/>
        <v/>
      </c>
      <c r="G30" t="str">
        <f>IF(F30="","",_xlfn.RANK.EQ(F30,$F$7:$F$34,1)+COUNTIF($F$7:F30,F30)-1)</f>
        <v/>
      </c>
      <c r="H30" s="19" t="str">
        <f t="shared" si="1"/>
        <v/>
      </c>
      <c r="I30" s="18" t="str">
        <f t="shared" si="4"/>
        <v/>
      </c>
      <c r="J30" s="17" t="str">
        <f t="shared" si="2"/>
        <v/>
      </c>
      <c r="K30" s="16" t="str">
        <f t="shared" si="3"/>
        <v>~</v>
      </c>
    </row>
    <row r="31" spans="1:19" x14ac:dyDescent="0.25">
      <c r="A31">
        <v>24</v>
      </c>
      <c r="B31" t="s">
        <v>48</v>
      </c>
      <c r="C31" t="s">
        <v>49</v>
      </c>
      <c r="D31">
        <f>VLOOKUP(C31,Lookups!$E$2:$F$47,2,FALSE)</f>
        <v>0.7</v>
      </c>
      <c r="E31" s="30"/>
      <c r="F31" s="29" t="str">
        <f t="shared" si="0"/>
        <v/>
      </c>
      <c r="G31" t="str">
        <f>IF(F31="","",_xlfn.RANK.EQ(F31,$F$7:$F$34,1)+COUNTIF($F$7:F31,F31)-1)</f>
        <v/>
      </c>
      <c r="H31" s="19" t="str">
        <f t="shared" si="1"/>
        <v/>
      </c>
      <c r="I31" s="18" t="str">
        <f t="shared" si="4"/>
        <v/>
      </c>
      <c r="J31" s="17" t="str">
        <f t="shared" si="2"/>
        <v/>
      </c>
      <c r="K31" s="16" t="str">
        <f t="shared" si="3"/>
        <v>~</v>
      </c>
    </row>
    <row r="32" spans="1:19"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4"/>
        <v/>
      </c>
      <c r="J32" s="17" t="str">
        <f t="shared" si="2"/>
        <v/>
      </c>
      <c r="K32" s="16" t="str">
        <f t="shared" si="3"/>
        <v>~</v>
      </c>
    </row>
    <row r="33" spans="1:11" x14ac:dyDescent="0.25">
      <c r="A33">
        <v>26</v>
      </c>
      <c r="B33" t="s">
        <v>57</v>
      </c>
      <c r="C33" t="s">
        <v>49</v>
      </c>
      <c r="D33">
        <f>VLOOKUP(C33,Lookups!$E$2:$F$47,2,FALSE)</f>
        <v>0.7</v>
      </c>
      <c r="E33" s="30"/>
      <c r="F33" s="29" t="str">
        <f t="shared" si="0"/>
        <v/>
      </c>
      <c r="G33" t="str">
        <f>IF(F33="","",_xlfn.RANK.EQ(F33,$F$7:$F$34,1)+COUNTIF($F$7:F33,F33)-1)</f>
        <v/>
      </c>
      <c r="H33" s="19" t="str">
        <f t="shared" si="1"/>
        <v/>
      </c>
      <c r="I33" s="18" t="str">
        <f t="shared" si="4"/>
        <v/>
      </c>
      <c r="J33" s="17" t="str">
        <f t="shared" si="2"/>
        <v/>
      </c>
      <c r="K33" s="16" t="str">
        <f t="shared" si="3"/>
        <v>~</v>
      </c>
    </row>
    <row r="34" spans="1:11" x14ac:dyDescent="0.25">
      <c r="A34">
        <v>27</v>
      </c>
      <c r="B34" t="s">
        <v>55</v>
      </c>
      <c r="C34" t="s">
        <v>45</v>
      </c>
      <c r="D34">
        <f>VLOOKUP(C34,Lookups!$E$2:$F$47,2,FALSE)</f>
        <v>0.67</v>
      </c>
      <c r="E34" s="30"/>
      <c r="F34" s="29" t="str">
        <f t="shared" si="0"/>
        <v/>
      </c>
      <c r="G34" t="str">
        <f>IF(F34="","",_xlfn.RANK.EQ(F34,$F$7:$F$34,1)+COUNTIF($F$7:F34,F34)-1)</f>
        <v/>
      </c>
      <c r="H34" s="19" t="str">
        <f t="shared" si="1"/>
        <v/>
      </c>
      <c r="I34" s="18" t="str">
        <f t="shared" si="4"/>
        <v/>
      </c>
      <c r="J34" s="17" t="str">
        <f t="shared" si="2"/>
        <v/>
      </c>
      <c r="K34" s="16" t="str">
        <f t="shared" si="3"/>
        <v>~</v>
      </c>
    </row>
    <row r="35" spans="1:11" x14ac:dyDescent="0.25">
      <c r="E35" s="26"/>
    </row>
    <row r="36" spans="1:11" x14ac:dyDescent="0.25">
      <c r="A36" t="s">
        <v>53</v>
      </c>
      <c r="E36" s="26"/>
    </row>
    <row r="37" spans="1:11" ht="30" x14ac:dyDescent="0.25">
      <c r="A37" t="s">
        <v>8</v>
      </c>
      <c r="B37" t="s">
        <v>9</v>
      </c>
      <c r="C37" t="s">
        <v>10</v>
      </c>
      <c r="D37" t="s">
        <v>54</v>
      </c>
      <c r="E37" s="27" t="s">
        <v>95</v>
      </c>
      <c r="F37" s="24" t="s">
        <v>94</v>
      </c>
      <c r="G37" s="24" t="s">
        <v>8</v>
      </c>
      <c r="H37" s="23" t="s">
        <v>93</v>
      </c>
      <c r="I37" s="22" t="s">
        <v>92</v>
      </c>
      <c r="J37" s="21" t="s">
        <v>91</v>
      </c>
      <c r="K37" s="20" t="s">
        <v>90</v>
      </c>
    </row>
    <row r="38" spans="1:11" x14ac:dyDescent="0.25">
      <c r="A38">
        <v>1</v>
      </c>
      <c r="B38" t="s">
        <v>55</v>
      </c>
      <c r="C38" t="s">
        <v>109</v>
      </c>
      <c r="D38">
        <f>VLOOKUP(C38,Lookups!$E$2:$F$47,2,FALSE)</f>
        <v>0.7</v>
      </c>
      <c r="E38" s="30"/>
      <c r="F38" s="29" t="str">
        <f>IF(E38="","",E38*D38)</f>
        <v/>
      </c>
      <c r="G38" t="str">
        <f>IF(F38="","",_xlfn.RANK.EQ(F38,$F$38:$F$62,1)+COUNTIF($F$38:F62,F38)-1)</f>
        <v/>
      </c>
      <c r="H38" s="19" t="str">
        <f t="shared" ref="H38:H62" si="11">IFERROR((1000+200*(AVERAGE($F$38:$F$62)-F38)/_xlfn.STDEV.P($F$38:$F$62)),"")</f>
        <v/>
      </c>
      <c r="I38" s="18" t="str">
        <f t="shared" ref="I38:I62" si="12">IFERROR(((1000*SMALL($F$38:$F$62,1)/F38)),"")</f>
        <v/>
      </c>
      <c r="J38" s="17" t="str">
        <f t="shared" ref="J38:J62" si="13">IF(E38="","",IF(F38&gt;=2*SMALL($F$38:$F$62,1),0,1000-((F38-SMALL($F$7:$F$62,1))/SMALL($F$38:$F$62,1)*100)))</f>
        <v/>
      </c>
      <c r="K38" s="16" t="str">
        <f t="shared" ref="K38:K62" si="14">IFERROR((1000-MINUTE(F38-SMALL($F$38:$F$62,1))),"~")</f>
        <v>~</v>
      </c>
    </row>
    <row r="39" spans="1:11" x14ac:dyDescent="0.25">
      <c r="A39">
        <v>2</v>
      </c>
      <c r="B39" t="s">
        <v>57</v>
      </c>
      <c r="C39" t="s">
        <v>49</v>
      </c>
      <c r="D39">
        <f>VLOOKUP(C39,Lookups!$E$2:$F$47,2,FALSE)</f>
        <v>0.7</v>
      </c>
      <c r="E39" s="30"/>
      <c r="F39" s="29" t="str">
        <f>IF(E39="","",E39*D39)</f>
        <v/>
      </c>
      <c r="G39" t="str">
        <f>IF(F39="","",_xlfn.RANK.EQ(F39,$F$38:$F$62,1)+COUNTIF($F$38:F63,F39)-1)</f>
        <v/>
      </c>
      <c r="H39" s="19" t="str">
        <f t="shared" si="11"/>
        <v/>
      </c>
      <c r="I39" s="18" t="str">
        <f t="shared" si="12"/>
        <v/>
      </c>
      <c r="J39" s="17" t="str">
        <f t="shared" si="13"/>
        <v/>
      </c>
      <c r="K39" s="16" t="str">
        <f t="shared" si="14"/>
        <v>~</v>
      </c>
    </row>
    <row r="40" spans="1:11" x14ac:dyDescent="0.25">
      <c r="A40">
        <v>3</v>
      </c>
      <c r="B40" t="s">
        <v>111</v>
      </c>
      <c r="C40" t="s">
        <v>39</v>
      </c>
      <c r="D40">
        <f>VLOOKUP(C40,Lookups!$E$2:$F$47,2,FALSE)</f>
        <v>0.9</v>
      </c>
      <c r="E40" s="30"/>
      <c r="F40" s="29" t="str">
        <f t="shared" ref="F40:F62" si="15">IF(E40="","",E40*D40)</f>
        <v/>
      </c>
      <c r="G40" t="str">
        <f>IF(F40="","",_xlfn.RANK.EQ(F40,$F$38:$F$62,1)+COUNTIF($F$38:F64,F40)-1)</f>
        <v/>
      </c>
      <c r="H40" s="19" t="str">
        <f t="shared" si="11"/>
        <v/>
      </c>
      <c r="I40" s="18" t="str">
        <f t="shared" si="12"/>
        <v/>
      </c>
      <c r="J40" s="17" t="str">
        <f t="shared" si="13"/>
        <v/>
      </c>
      <c r="K40" s="16" t="str">
        <f t="shared" si="14"/>
        <v>~</v>
      </c>
    </row>
    <row r="41" spans="1:11" x14ac:dyDescent="0.25">
      <c r="A41">
        <v>4</v>
      </c>
      <c r="B41" t="s">
        <v>65</v>
      </c>
      <c r="C41" t="s">
        <v>63</v>
      </c>
      <c r="D41">
        <f>VLOOKUP(C41,Lookups!$E$2:$F$47,2,FALSE)</f>
        <v>0.62</v>
      </c>
      <c r="E41" s="30">
        <v>4.1250000000000002E-2</v>
      </c>
      <c r="F41" s="29">
        <f t="shared" si="15"/>
        <v>2.5575000000000001E-2</v>
      </c>
      <c r="G41">
        <f>IF(F41="","",_xlfn.RANK.EQ(F41,$F$38:$F$62,1)+COUNTIF($F$38:F65,F41)-1)</f>
        <v>1</v>
      </c>
      <c r="H41" s="19">
        <f t="shared" si="11"/>
        <v>1233.8270610681543</v>
      </c>
      <c r="I41" s="18">
        <f t="shared" si="12"/>
        <v>1000</v>
      </c>
      <c r="J41" s="17">
        <f t="shared" si="13"/>
        <v>1000</v>
      </c>
      <c r="K41" s="16">
        <f t="shared" si="14"/>
        <v>1000</v>
      </c>
    </row>
    <row r="42" spans="1:11" x14ac:dyDescent="0.25">
      <c r="A42">
        <v>5</v>
      </c>
      <c r="B42" t="s">
        <v>116</v>
      </c>
      <c r="C42" t="s">
        <v>117</v>
      </c>
      <c r="D42">
        <f>VLOOKUP(C42,Lookups!$E$2:$F$47,2,FALSE)</f>
        <v>0.89</v>
      </c>
      <c r="E42" s="30"/>
      <c r="F42" s="29" t="str">
        <f t="shared" si="15"/>
        <v/>
      </c>
      <c r="G42" t="str">
        <f>IF(F42="","",_xlfn.RANK.EQ(F42,$F$38:$F$62,1)+COUNTIF($F$38:F66,F42)-1)</f>
        <v/>
      </c>
      <c r="H42" s="19" t="str">
        <f t="shared" si="11"/>
        <v/>
      </c>
      <c r="I42" s="18" t="str">
        <f t="shared" si="12"/>
        <v/>
      </c>
      <c r="J42" s="17" t="str">
        <f t="shared" si="13"/>
        <v/>
      </c>
      <c r="K42" s="16" t="str">
        <f t="shared" si="14"/>
        <v>~</v>
      </c>
    </row>
    <row r="43" spans="1:11" x14ac:dyDescent="0.25">
      <c r="A43">
        <v>6</v>
      </c>
      <c r="B43" t="s">
        <v>44</v>
      </c>
      <c r="C43" t="s">
        <v>45</v>
      </c>
      <c r="D43">
        <f>VLOOKUP(C43,Lookups!$E$2:$F$47,2,FALSE)</f>
        <v>0.67</v>
      </c>
      <c r="E43" s="30"/>
      <c r="F43" s="29" t="str">
        <f t="shared" si="15"/>
        <v/>
      </c>
      <c r="G43" t="str">
        <f>IF(F43="","",_xlfn.RANK.EQ(F43,$F$38:$F$62,1)+COUNTIF($F$38:F67,F43)-1)</f>
        <v/>
      </c>
      <c r="H43" s="19" t="str">
        <f t="shared" si="11"/>
        <v/>
      </c>
      <c r="I43" s="18" t="str">
        <f t="shared" si="12"/>
        <v/>
      </c>
      <c r="J43" s="17" t="str">
        <f t="shared" si="13"/>
        <v/>
      </c>
      <c r="K43" s="16" t="str">
        <f t="shared" si="14"/>
        <v>~</v>
      </c>
    </row>
    <row r="44" spans="1:11" x14ac:dyDescent="0.25">
      <c r="A44">
        <v>7</v>
      </c>
      <c r="B44" t="s">
        <v>115</v>
      </c>
      <c r="C44" t="s">
        <v>47</v>
      </c>
      <c r="D44">
        <f>VLOOKUP(C44,Lookups!$E$2:$F$47,2,FALSE)</f>
        <v>0.8</v>
      </c>
      <c r="E44" s="30"/>
      <c r="F44" s="29" t="str">
        <f t="shared" si="15"/>
        <v/>
      </c>
      <c r="G44" t="str">
        <f>IF(F44="","",_xlfn.RANK.EQ(F44,$F$38:$F$62,1)+COUNTIF($F$38:F68,F44)-1)</f>
        <v/>
      </c>
      <c r="H44" s="19" t="str">
        <f t="shared" si="11"/>
        <v/>
      </c>
      <c r="I44" s="18" t="str">
        <f t="shared" si="12"/>
        <v/>
      </c>
      <c r="J44" s="17" t="str">
        <f t="shared" si="13"/>
        <v/>
      </c>
      <c r="K44" s="16" t="str">
        <f t="shared" si="14"/>
        <v>~</v>
      </c>
    </row>
    <row r="45" spans="1:11" x14ac:dyDescent="0.25">
      <c r="A45">
        <v>8</v>
      </c>
      <c r="B45" t="s">
        <v>58</v>
      </c>
      <c r="C45" t="s">
        <v>59</v>
      </c>
      <c r="D45">
        <f>VLOOKUP(C45,Lookups!$E$2:$F$47,2,FALSE)</f>
        <v>0.77</v>
      </c>
      <c r="E45" s="30">
        <v>4.1759259259259253E-2</v>
      </c>
      <c r="F45" s="29">
        <f t="shared" si="15"/>
        <v>3.2154629629629623E-2</v>
      </c>
      <c r="G45">
        <f>IF(F45="","",_xlfn.RANK.EQ(F45,$F$38:$F$62,1)+COUNTIF($F$38:F69,F45)-1)</f>
        <v>4</v>
      </c>
      <c r="H45" s="19">
        <f t="shared" si="11"/>
        <v>826.58325377405163</v>
      </c>
      <c r="I45" s="18">
        <f t="shared" si="12"/>
        <v>795.37535635096629</v>
      </c>
      <c r="J45" s="17">
        <f t="shared" si="13"/>
        <v>974.27319792911192</v>
      </c>
      <c r="K45" s="16">
        <f t="shared" si="14"/>
        <v>991</v>
      </c>
    </row>
    <row r="46" spans="1:11" x14ac:dyDescent="0.25">
      <c r="A46">
        <v>9</v>
      </c>
      <c r="B46" t="s">
        <v>124</v>
      </c>
      <c r="C46" t="s">
        <v>34</v>
      </c>
      <c r="D46">
        <f>VLOOKUP(C46,Lookups!$E$2:$F$47,2,FALSE)</f>
        <v>0.8</v>
      </c>
      <c r="E46" s="30"/>
      <c r="F46" s="29" t="str">
        <f t="shared" si="15"/>
        <v/>
      </c>
      <c r="G46" t="str">
        <f>IF(F46="","",_xlfn.RANK.EQ(F46,$F$38:$F$62,1)+COUNTIF($F$38:F76,F46)-1)</f>
        <v/>
      </c>
      <c r="H46" s="19" t="str">
        <f t="shared" si="11"/>
        <v/>
      </c>
      <c r="I46" s="18" t="str">
        <f t="shared" si="12"/>
        <v/>
      </c>
      <c r="J46" s="17" t="str">
        <f t="shared" si="13"/>
        <v/>
      </c>
      <c r="K46" s="16" t="str">
        <f t="shared" si="14"/>
        <v>~</v>
      </c>
    </row>
    <row r="47" spans="1:11" x14ac:dyDescent="0.25">
      <c r="A47">
        <v>10</v>
      </c>
      <c r="B47" t="s">
        <v>102</v>
      </c>
      <c r="C47" t="s">
        <v>103</v>
      </c>
      <c r="D47">
        <f>VLOOKUP(C47,Lookups!$E$2:$F$47,2,FALSE)</f>
        <v>0.92</v>
      </c>
      <c r="E47" s="30">
        <v>3.0833333333333334E-2</v>
      </c>
      <c r="F47" s="29">
        <f t="shared" si="15"/>
        <v>2.8366666666666669E-2</v>
      </c>
      <c r="G47">
        <f>IF(F47="","",_xlfn.RANK.EQ(F47,$F$38:$F$62,1)+COUNTIF($F$38:F77,F47)-1)</f>
        <v>3</v>
      </c>
      <c r="H47" s="19">
        <f t="shared" si="11"/>
        <v>1061.037857720037</v>
      </c>
      <c r="I47" s="18">
        <f t="shared" si="12"/>
        <v>901.58636897767326</v>
      </c>
      <c r="J47" s="17">
        <f t="shared" si="13"/>
        <v>989.08439231019872</v>
      </c>
      <c r="K47" s="16">
        <f t="shared" si="14"/>
        <v>996</v>
      </c>
    </row>
    <row r="48" spans="1:11" x14ac:dyDescent="0.25">
      <c r="A48">
        <v>11</v>
      </c>
      <c r="B48" t="s">
        <v>106</v>
      </c>
      <c r="C48" t="s">
        <v>107</v>
      </c>
      <c r="D48">
        <f>VLOOKUP(C48,Lookups!$E$2:$F$47,2,FALSE)</f>
        <v>0.92</v>
      </c>
      <c r="E48" s="30">
        <v>3.6979166666666667E-2</v>
      </c>
      <c r="F48" s="29">
        <f t="shared" si="15"/>
        <v>3.4020833333333333E-2</v>
      </c>
      <c r="G48">
        <f>IF(F48="","",_xlfn.RANK.EQ(F48,$F$38:$F$62,1)+COUNTIF($F$38:F78,F48)-1)</f>
        <v>5</v>
      </c>
      <c r="H48" s="19">
        <f t="shared" si="11"/>
        <v>711.07524735676088</v>
      </c>
      <c r="I48" s="18">
        <f t="shared" si="12"/>
        <v>751.74525413349659</v>
      </c>
      <c r="J48" s="17">
        <f t="shared" si="13"/>
        <v>966.97621375040728</v>
      </c>
      <c r="K48" s="16">
        <f t="shared" si="14"/>
        <v>988</v>
      </c>
    </row>
    <row r="49" spans="1:11" x14ac:dyDescent="0.25">
      <c r="B49" t="s">
        <v>104</v>
      </c>
      <c r="C49" t="s">
        <v>47</v>
      </c>
      <c r="E49" s="30"/>
      <c r="F49" s="29" t="str">
        <f t="shared" ref="F49:F50" si="16">IF(E49="","",E49*D49)</f>
        <v/>
      </c>
      <c r="G49" t="str">
        <f>IF(F49="","",_xlfn.RANK.EQ(F49,$F$38:$F$62,1)+COUNTIF($F$38:F79,F49)-1)</f>
        <v/>
      </c>
      <c r="H49" s="19" t="str">
        <f t="shared" ref="H49:H50" si="17">IFERROR((1000+200*(AVERAGE($F$38:$F$62)-F49)/_xlfn.STDEV.P($F$38:$F$62)),"")</f>
        <v/>
      </c>
      <c r="I49" s="18" t="str">
        <f t="shared" ref="I49:I50" si="18">IFERROR(((1000*SMALL($F$38:$F$62,1)/F49)),"")</f>
        <v/>
      </c>
      <c r="J49" s="17" t="str">
        <f t="shared" ref="J49:J50" si="19">IF(E49="","",IF(F49&gt;=2*SMALL($F$38:$F$62,1),0,1000-((F49-SMALL($F$7:$F$62,1))/SMALL($F$38:$F$62,1)*100)))</f>
        <v/>
      </c>
      <c r="K49" s="16" t="str">
        <f t="shared" ref="K49:K50" si="20">IFERROR((1000-MINUTE(F49-SMALL($F$38:$F$62,1))),"~")</f>
        <v>~</v>
      </c>
    </row>
    <row r="50" spans="1:11" x14ac:dyDescent="0.25">
      <c r="B50" t="s">
        <v>157</v>
      </c>
      <c r="C50" t="s">
        <v>156</v>
      </c>
      <c r="E50" s="30"/>
      <c r="F50" s="29" t="str">
        <f t="shared" si="16"/>
        <v/>
      </c>
      <c r="G50" t="str">
        <f>IF(F50="","",_xlfn.RANK.EQ(F50,$F$38:$F$62,1)+COUNTIF($F$38:F80,F50)-1)</f>
        <v/>
      </c>
      <c r="H50" s="19" t="str">
        <f t="shared" si="17"/>
        <v/>
      </c>
      <c r="I50" s="18" t="str">
        <f t="shared" si="18"/>
        <v/>
      </c>
      <c r="J50" s="17" t="str">
        <f t="shared" si="19"/>
        <v/>
      </c>
      <c r="K50" s="16" t="str">
        <f t="shared" si="20"/>
        <v>~</v>
      </c>
    </row>
    <row r="51" spans="1:11" x14ac:dyDescent="0.25">
      <c r="B51" t="s">
        <v>112</v>
      </c>
      <c r="C51" t="s">
        <v>17</v>
      </c>
      <c r="D51">
        <f>VLOOKUP(C51,Lookups!$E$2:$F$47,2,FALSE)</f>
        <v>0.7</v>
      </c>
      <c r="E51" s="30"/>
      <c r="F51" s="29" t="str">
        <f t="shared" ref="F51:F52" si="21">IF(E51="","",E51*D51)</f>
        <v/>
      </c>
      <c r="G51" t="str">
        <f>IF(F51="","",_xlfn.RANK.EQ(F51,$F$38:$F$62,1)+COUNTIF($F$38:F79,F51)-1)</f>
        <v/>
      </c>
      <c r="H51" s="19" t="str">
        <f t="shared" si="11"/>
        <v/>
      </c>
      <c r="I51" s="18" t="str">
        <f t="shared" si="12"/>
        <v/>
      </c>
      <c r="J51" s="17" t="str">
        <f t="shared" si="13"/>
        <v/>
      </c>
      <c r="K51" s="16" t="str">
        <f t="shared" si="14"/>
        <v>~</v>
      </c>
    </row>
    <row r="52" spans="1:11" x14ac:dyDescent="0.25">
      <c r="B52" t="s">
        <v>76</v>
      </c>
      <c r="C52" t="s">
        <v>19</v>
      </c>
      <c r="D52">
        <f>VLOOKUP(C52,Lookups!$E$2:$F$47,2,FALSE)</f>
        <v>0.63</v>
      </c>
      <c r="E52" s="30"/>
      <c r="F52" s="29" t="str">
        <f t="shared" si="21"/>
        <v/>
      </c>
      <c r="G52" t="str">
        <f>IF(F52="","",_xlfn.RANK.EQ(F52,$F$38:$F$62,1)+COUNTIF($F$38:F80,F52)-1)</f>
        <v/>
      </c>
      <c r="H52" s="19" t="str">
        <f t="shared" si="11"/>
        <v/>
      </c>
      <c r="I52" s="18" t="str">
        <f t="shared" si="12"/>
        <v/>
      </c>
      <c r="J52" s="17" t="str">
        <f t="shared" si="13"/>
        <v/>
      </c>
      <c r="K52" s="16" t="str">
        <f t="shared" si="14"/>
        <v>~</v>
      </c>
    </row>
    <row r="53" spans="1:11" x14ac:dyDescent="0.25">
      <c r="B53" t="s">
        <v>25</v>
      </c>
      <c r="C53" t="s">
        <v>26</v>
      </c>
      <c r="D53">
        <f>VLOOKUP(C53,Lookups!$E$2:$F$47,2,FALSE)</f>
        <v>0.67</v>
      </c>
      <c r="E53" s="30"/>
      <c r="F53" s="29" t="str">
        <f t="shared" ref="F53" si="22">IF(E53="","",E53*D53)</f>
        <v/>
      </c>
      <c r="G53" t="str">
        <f>IF(F53="","",_xlfn.RANK.EQ(F53,$F$38:$F$62,1)+COUNTIF($F$38:F81,F53)-1)</f>
        <v/>
      </c>
      <c r="H53" s="19" t="str">
        <f t="shared" si="11"/>
        <v/>
      </c>
      <c r="I53" s="18" t="str">
        <f t="shared" si="12"/>
        <v/>
      </c>
      <c r="J53" s="17" t="str">
        <f t="shared" si="13"/>
        <v/>
      </c>
      <c r="K53" s="16" t="str">
        <f t="shared" si="14"/>
        <v>~</v>
      </c>
    </row>
    <row r="54" spans="1:11" x14ac:dyDescent="0.25">
      <c r="A54">
        <v>12</v>
      </c>
      <c r="B54" t="s">
        <v>42</v>
      </c>
      <c r="C54" t="s">
        <v>43</v>
      </c>
      <c r="D54">
        <f>VLOOKUP(C54,Lookups!$E$2:$F$47,2,FALSE)</f>
        <v>0.64</v>
      </c>
      <c r="E54" s="30"/>
      <c r="F54" s="29" t="str">
        <f t="shared" si="15"/>
        <v/>
      </c>
      <c r="G54" t="str">
        <f>IF(F54="","",_xlfn.RANK.EQ(F54,$F$38:$F$62,1)+COUNTIF($F$38:F79,F54)-1)</f>
        <v/>
      </c>
      <c r="H54" s="19" t="str">
        <f t="shared" si="11"/>
        <v/>
      </c>
      <c r="I54" s="18" t="str">
        <f t="shared" si="12"/>
        <v/>
      </c>
      <c r="J54" s="17" t="str">
        <f t="shared" si="13"/>
        <v/>
      </c>
      <c r="K54" s="16" t="str">
        <f t="shared" si="14"/>
        <v>~</v>
      </c>
    </row>
    <row r="55" spans="1:11" x14ac:dyDescent="0.25">
      <c r="A55">
        <v>13</v>
      </c>
      <c r="B55" t="s">
        <v>60</v>
      </c>
      <c r="C55" t="s">
        <v>34</v>
      </c>
      <c r="D55">
        <f>VLOOKUP(C55,Lookups!$E$2:$F$47,2,FALSE)</f>
        <v>0.8</v>
      </c>
      <c r="E55" s="30"/>
      <c r="F55" s="29" t="str">
        <f t="shared" si="15"/>
        <v/>
      </c>
      <c r="G55" t="str">
        <f>IF(F55="","",_xlfn.RANK.EQ(F55,$F$38:$F$62,1)+COUNTIF($F$38:F80,F55)-1)</f>
        <v/>
      </c>
      <c r="H55" s="19" t="str">
        <f t="shared" si="11"/>
        <v/>
      </c>
      <c r="I55" s="18" t="str">
        <f t="shared" si="12"/>
        <v/>
      </c>
      <c r="J55" s="17" t="str">
        <f t="shared" si="13"/>
        <v/>
      </c>
      <c r="K55" s="16" t="str">
        <f t="shared" si="14"/>
        <v>~</v>
      </c>
    </row>
    <row r="56" spans="1:11" x14ac:dyDescent="0.25">
      <c r="A56">
        <v>14</v>
      </c>
      <c r="B56" t="s">
        <v>114</v>
      </c>
      <c r="C56" t="s">
        <v>31</v>
      </c>
      <c r="D56">
        <f>VLOOKUP(C56,Lookups!$E$2:$F$47,2,FALSE)</f>
        <v>0.82</v>
      </c>
      <c r="E56" s="30"/>
      <c r="F56" s="29" t="str">
        <f t="shared" si="15"/>
        <v/>
      </c>
      <c r="G56" t="str">
        <f>IF(F56="","",_xlfn.RANK.EQ(F56,$F$38:$F$62,1)+COUNTIF($F$38:F81,F56)-1)</f>
        <v/>
      </c>
      <c r="H56" s="19" t="str">
        <f t="shared" si="11"/>
        <v/>
      </c>
      <c r="I56" s="18" t="str">
        <f t="shared" si="12"/>
        <v/>
      </c>
      <c r="J56" s="17" t="str">
        <f t="shared" si="13"/>
        <v/>
      </c>
      <c r="K56" s="16" t="str">
        <f t="shared" si="14"/>
        <v>~</v>
      </c>
    </row>
    <row r="57" spans="1:11" x14ac:dyDescent="0.25">
      <c r="A57">
        <v>15</v>
      </c>
      <c r="B57" t="s">
        <v>61</v>
      </c>
      <c r="C57" t="s">
        <v>39</v>
      </c>
      <c r="D57">
        <f>VLOOKUP(C57,Lookups!$E$2:$F$47,2,FALSE)</f>
        <v>0.9</v>
      </c>
      <c r="E57" s="30"/>
      <c r="F57" s="29" t="str">
        <f t="shared" si="15"/>
        <v/>
      </c>
      <c r="G57" t="str">
        <f>IF(F57="","",_xlfn.RANK.EQ(F57,$F$38:$F$62,1)+COUNTIF($F$38:F82,F57)-1)</f>
        <v/>
      </c>
      <c r="H57" s="19" t="str">
        <f t="shared" si="11"/>
        <v/>
      </c>
      <c r="I57" s="18" t="str">
        <f t="shared" si="12"/>
        <v/>
      </c>
      <c r="J57" s="17" t="str">
        <f t="shared" si="13"/>
        <v/>
      </c>
      <c r="K57" s="16" t="str">
        <f t="shared" si="14"/>
        <v>~</v>
      </c>
    </row>
    <row r="58" spans="1:11" x14ac:dyDescent="0.25">
      <c r="A58">
        <v>16</v>
      </c>
      <c r="B58" t="s">
        <v>6</v>
      </c>
      <c r="C58" t="s">
        <v>19</v>
      </c>
      <c r="D58">
        <f>VLOOKUP(C58,Lookups!$E$2:$F$47,2,FALSE)</f>
        <v>0.63</v>
      </c>
      <c r="E58" s="30"/>
      <c r="F58" s="29" t="str">
        <f t="shared" si="15"/>
        <v/>
      </c>
      <c r="G58" t="str">
        <f>IF(F58="","",_xlfn.RANK.EQ(F58,$F$38:$F$62,1)+COUNTIF($F$38:F83,F58)-1)</f>
        <v/>
      </c>
      <c r="H58" s="19" t="str">
        <f t="shared" si="11"/>
        <v/>
      </c>
      <c r="I58" s="18" t="str">
        <f t="shared" si="12"/>
        <v/>
      </c>
      <c r="J58" s="17" t="str">
        <f t="shared" si="13"/>
        <v/>
      </c>
      <c r="K58" s="16" t="str">
        <f t="shared" si="14"/>
        <v>~</v>
      </c>
    </row>
    <row r="59" spans="1:11" x14ac:dyDescent="0.25">
      <c r="A59">
        <v>17</v>
      </c>
      <c r="B59" t="s">
        <v>118</v>
      </c>
      <c r="C59" t="s">
        <v>47</v>
      </c>
      <c r="D59">
        <f>VLOOKUP(C59,Lookups!$E$2:$F$47,2,FALSE)</f>
        <v>0.8</v>
      </c>
      <c r="E59" s="30"/>
      <c r="F59" s="29" t="str">
        <f t="shared" si="15"/>
        <v/>
      </c>
      <c r="G59" t="str">
        <f>IF(F59="","",_xlfn.RANK.EQ(F59,$F$38:$F$62,1)+COUNTIF($F$38:F84,F59)-1)</f>
        <v/>
      </c>
      <c r="H59" s="19" t="str">
        <f t="shared" si="11"/>
        <v/>
      </c>
      <c r="I59" s="18" t="str">
        <f t="shared" si="12"/>
        <v/>
      </c>
      <c r="J59" s="17" t="str">
        <f t="shared" si="13"/>
        <v/>
      </c>
      <c r="K59" s="16" t="str">
        <f t="shared" si="14"/>
        <v>~</v>
      </c>
    </row>
    <row r="60" spans="1:11" x14ac:dyDescent="0.25">
      <c r="A60">
        <v>18</v>
      </c>
      <c r="B60" t="s">
        <v>51</v>
      </c>
      <c r="C60" t="s">
        <v>31</v>
      </c>
      <c r="D60">
        <f>VLOOKUP(C60,Lookups!$E$2:$F$47,2,FALSE)</f>
        <v>0.82</v>
      </c>
      <c r="E60" s="30"/>
      <c r="F60" s="29" t="str">
        <f t="shared" si="15"/>
        <v/>
      </c>
      <c r="G60" t="str">
        <f>IF(F60="","",_xlfn.RANK.EQ(F60,$F$38:$F$62,1)+COUNTIF($F$38:F85,F60)-1)</f>
        <v/>
      </c>
      <c r="H60" s="19" t="str">
        <f t="shared" si="11"/>
        <v/>
      </c>
      <c r="I60" s="18" t="str">
        <f t="shared" si="12"/>
        <v/>
      </c>
      <c r="J60" s="17" t="str">
        <f t="shared" si="13"/>
        <v/>
      </c>
      <c r="K60" s="16" t="str">
        <f t="shared" si="14"/>
        <v>~</v>
      </c>
    </row>
    <row r="61" spans="1:11" x14ac:dyDescent="0.25">
      <c r="A61">
        <v>19</v>
      </c>
      <c r="B61" t="s">
        <v>41</v>
      </c>
      <c r="C61" t="s">
        <v>17</v>
      </c>
      <c r="D61">
        <f>VLOOKUP(C61,Lookups!$E$2:$F$47,2,FALSE)</f>
        <v>0.7</v>
      </c>
      <c r="E61" s="30">
        <v>3.8067129629629631E-2</v>
      </c>
      <c r="F61" s="29">
        <f t="shared" si="15"/>
        <v>2.6646990740740742E-2</v>
      </c>
      <c r="G61">
        <f>IF(F61="","",_xlfn.RANK.EQ(F61,$F$38:$F$62,1)+COUNTIF($F$38:F86,F61)-1)</f>
        <v>2</v>
      </c>
      <c r="H61" s="19">
        <f t="shared" si="11"/>
        <v>1167.476580080996</v>
      </c>
      <c r="I61" s="18">
        <f t="shared" si="12"/>
        <v>959.77066411849012</v>
      </c>
      <c r="J61" s="17">
        <f t="shared" si="13"/>
        <v>995.80844285145361</v>
      </c>
      <c r="K61" s="16">
        <f t="shared" si="14"/>
        <v>999</v>
      </c>
    </row>
    <row r="62" spans="1:11" x14ac:dyDescent="0.25">
      <c r="A62">
        <v>19</v>
      </c>
      <c r="B62" t="s">
        <v>67</v>
      </c>
      <c r="C62" t="s">
        <v>34</v>
      </c>
      <c r="D62">
        <f>VLOOKUP(C62,Lookups!$E$2:$F$47,2,FALSE)</f>
        <v>0.8</v>
      </c>
      <c r="E62" s="30"/>
      <c r="F62" s="29" t="str">
        <f t="shared" si="15"/>
        <v/>
      </c>
      <c r="G62" t="str">
        <f>IF(F62="","",_xlfn.RANK.EQ(F62,$F$38:$F$62,1)+COUNTIF($F$38:F86,F62)-1)</f>
        <v/>
      </c>
      <c r="H62" s="19" t="str">
        <f t="shared" si="11"/>
        <v/>
      </c>
      <c r="I62" s="18" t="str">
        <f t="shared" si="12"/>
        <v/>
      </c>
      <c r="J62" s="17" t="str">
        <f t="shared" si="13"/>
        <v/>
      </c>
      <c r="K62" s="16" t="str">
        <f t="shared" si="14"/>
        <v>~</v>
      </c>
    </row>
    <row r="63" spans="1:11" x14ac:dyDescent="0.25">
      <c r="E63" s="26"/>
    </row>
    <row r="64" spans="1:11" x14ac:dyDescent="0.25">
      <c r="A64" t="s">
        <v>64</v>
      </c>
      <c r="E64" s="26"/>
    </row>
    <row r="65" spans="1:11" ht="30" x14ac:dyDescent="0.25">
      <c r="A65" t="s">
        <v>8</v>
      </c>
      <c r="B65" t="s">
        <v>9</v>
      </c>
      <c r="C65" t="s">
        <v>10</v>
      </c>
      <c r="D65" t="s">
        <v>54</v>
      </c>
      <c r="E65" s="27" t="s">
        <v>95</v>
      </c>
      <c r="F65" s="24" t="s">
        <v>94</v>
      </c>
      <c r="G65" s="24" t="s">
        <v>8</v>
      </c>
      <c r="H65" s="23" t="s">
        <v>93</v>
      </c>
      <c r="I65" s="22" t="s">
        <v>92</v>
      </c>
      <c r="J65" s="21" t="s">
        <v>91</v>
      </c>
      <c r="K65" s="20" t="s">
        <v>90</v>
      </c>
    </row>
    <row r="66" spans="1:11" x14ac:dyDescent="0.25">
      <c r="A66">
        <v>1</v>
      </c>
      <c r="B66" t="s">
        <v>60</v>
      </c>
      <c r="C66" t="s">
        <v>34</v>
      </c>
      <c r="D66">
        <f>VLOOKUP(C66,Lookups!$E$2:$F$47,2,FALSE)</f>
        <v>0.8</v>
      </c>
      <c r="E66" s="30"/>
      <c r="F66" s="29" t="str">
        <f>IF(E66="","",E66*D66)</f>
        <v/>
      </c>
      <c r="G66" t="str">
        <f>IF(F66="","",_xlfn.RANK.EQ(F66,$F$66:$F$85,1)+COUNTIF($F$66:F85,F66)-1)</f>
        <v/>
      </c>
      <c r="H66" s="19" t="str">
        <f>IFERROR((1000+200*(AVERAGE($F$66:$F$85)-F66)/_xlfn.STDEV.P($F$66:$F$85)),"")</f>
        <v/>
      </c>
      <c r="I66" s="18" t="str">
        <f>IFERROR(((1000*SMALL($F$66:$F$85,1)/F66)),"")</f>
        <v/>
      </c>
      <c r="J66" s="17" t="str">
        <f>IF(E66="","",IF(F66&gt;=2*SMALL($F$66:$F$85,1),0,1000-((F66-SMALL($F$66:$F$85,1))/SMALL($F$66:$F$85,1)*100)))</f>
        <v/>
      </c>
      <c r="K66" s="16" t="str">
        <f>IFERROR((1000-MINUTE(F66-SMALL($F$66:$F$85,1))),"~")</f>
        <v>~</v>
      </c>
    </row>
    <row r="67" spans="1:11" x14ac:dyDescent="0.25">
      <c r="A67">
        <v>2</v>
      </c>
      <c r="B67" t="s">
        <v>65</v>
      </c>
      <c r="C67" t="s">
        <v>108</v>
      </c>
      <c r="D67">
        <f>VLOOKUP(C67,Lookups!$E$2:$F$47,2,FALSE)</f>
        <v>0.65</v>
      </c>
      <c r="E67" s="30"/>
      <c r="F67" s="29" t="str">
        <f t="shared" ref="F67:F85" si="23">IF(E67="","",E67*D67)</f>
        <v/>
      </c>
      <c r="G67" t="str">
        <f>IF(F67="","",_xlfn.RANK.EQ(F67,$F$66:$F$85,1)+COUNTIF($F$66:F86,F67)-1)</f>
        <v/>
      </c>
      <c r="H67" s="19" t="str">
        <f t="shared" ref="H67:H85" si="24">IFERROR((1000+200*(AVERAGE($F$66:$F$85)-F67)/_xlfn.STDEV.P($F$66:$F$85)),"")</f>
        <v/>
      </c>
      <c r="I67" s="18" t="str">
        <f t="shared" ref="I67:I85" si="25">IFERROR(((1000*SMALL($F$66:$F$85,1)/F67)),"")</f>
        <v/>
      </c>
      <c r="J67" s="17" t="str">
        <f t="shared" ref="J67:J85" si="26">IF(E67="","",IF(F67&gt;=2*SMALL($F$66:$F$85,1),0,1000-((F67-SMALL($F$66:$F$85,1))/SMALL($F$66:$F$85,1)*100)))</f>
        <v/>
      </c>
      <c r="K67" s="16" t="str">
        <f t="shared" ref="K67:K85" si="27">IFERROR((1000-MINUTE(F67-SMALL($F$66:$F$85,1))),"~")</f>
        <v>~</v>
      </c>
    </row>
    <row r="68" spans="1:11" x14ac:dyDescent="0.25">
      <c r="A68">
        <v>3</v>
      </c>
      <c r="B68" t="s">
        <v>67</v>
      </c>
      <c r="C68" t="s">
        <v>34</v>
      </c>
      <c r="D68">
        <f>VLOOKUP(C68,Lookups!$E$2:$F$47,2,FALSE)</f>
        <v>0.8</v>
      </c>
      <c r="E68" s="30">
        <v>2.837962962962963E-2</v>
      </c>
      <c r="F68" s="29">
        <f t="shared" si="23"/>
        <v>2.2703703703703705E-2</v>
      </c>
      <c r="G68">
        <f>IF(F68="","",_xlfn.RANK.EQ(F68,$F$66:$F$85,1)+COUNTIF($F$66:F87,F68)-1)</f>
        <v>1</v>
      </c>
      <c r="H68" s="19">
        <f t="shared" si="24"/>
        <v>1197.9561218879685</v>
      </c>
      <c r="I68" s="18">
        <f t="shared" si="25"/>
        <v>1000</v>
      </c>
      <c r="J68" s="17">
        <f t="shared" si="26"/>
        <v>1000</v>
      </c>
      <c r="K68" s="16">
        <f t="shared" si="27"/>
        <v>1000</v>
      </c>
    </row>
    <row r="69" spans="1:11" x14ac:dyDescent="0.25">
      <c r="A69">
        <v>4</v>
      </c>
      <c r="B69" t="s">
        <v>111</v>
      </c>
      <c r="C69" t="s">
        <v>39</v>
      </c>
      <c r="D69">
        <f>VLOOKUP(C69,Lookups!$E$2:$F$47,2,FALSE)</f>
        <v>0.9</v>
      </c>
      <c r="E69" s="30">
        <v>2.8171296296296302E-2</v>
      </c>
      <c r="F69" s="29">
        <f t="shared" si="23"/>
        <v>2.5354166666666671E-2</v>
      </c>
      <c r="G69">
        <f>IF(F69="","",_xlfn.RANK.EQ(F69,$F$66:$F$85,1)+COUNTIF($F$66:F88,F69)-1)</f>
        <v>2</v>
      </c>
      <c r="H69" s="19">
        <f t="shared" si="24"/>
        <v>1068.1544041226928</v>
      </c>
      <c r="I69" s="18">
        <f t="shared" si="25"/>
        <v>895.46243038436955</v>
      </c>
      <c r="J69" s="17">
        <f t="shared" si="26"/>
        <v>988.32585644371943</v>
      </c>
      <c r="K69" s="16">
        <f t="shared" si="27"/>
        <v>997</v>
      </c>
    </row>
    <row r="70" spans="1:11" x14ac:dyDescent="0.25">
      <c r="B70" t="s">
        <v>44</v>
      </c>
      <c r="C70" t="s">
        <v>45</v>
      </c>
      <c r="D70">
        <f>VLOOKUP(C70,Lookups!$E$2:$F$47,2,FALSE)</f>
        <v>0.67</v>
      </c>
      <c r="E70" s="30"/>
      <c r="F70" s="29" t="str">
        <f t="shared" ref="F70:F76" si="28">IF(E70="","",E70*D70)</f>
        <v/>
      </c>
      <c r="G70" t="str">
        <f>IF(F70="","",_xlfn.RANK.EQ(F70,$F$66:$F$85,1)+COUNTIF($F$66:F89,F70)-1)</f>
        <v/>
      </c>
      <c r="H70" s="19" t="str">
        <f t="shared" ref="H70:H76" si="29">IFERROR((1000+200*(AVERAGE($F$66:$F$85)-F70)/_xlfn.STDEV.P($F$66:$F$85)),"")</f>
        <v/>
      </c>
      <c r="I70" s="18" t="str">
        <f t="shared" ref="I70:I76" si="30">IFERROR(((1000*SMALL($F$66:$F$85,1)/F70)),"")</f>
        <v/>
      </c>
      <c r="J70" s="17" t="str">
        <f t="shared" ref="J70:J76" si="31">IF(E70="","",IF(F70&gt;=2*SMALL($F$66:$F$85,1),0,1000-((F70-SMALL($F$66:$F$85,1))/SMALL($F$66:$F$85,1)*100)))</f>
        <v/>
      </c>
      <c r="K70" s="16" t="str">
        <f t="shared" ref="K70:K76" si="32">IFERROR((1000-MINUTE(F70-SMALL($F$66:$F$85,1))),"~")</f>
        <v>~</v>
      </c>
    </row>
    <row r="71" spans="1:11" x14ac:dyDescent="0.25">
      <c r="B71" t="s">
        <v>62</v>
      </c>
      <c r="C71" t="s">
        <v>63</v>
      </c>
      <c r="D71">
        <f>VLOOKUP(C71,Lookups!$E$2:$F$47,2,FALSE)</f>
        <v>0.62</v>
      </c>
      <c r="E71" s="30"/>
      <c r="F71" s="29" t="str">
        <f t="shared" si="28"/>
        <v/>
      </c>
      <c r="G71" t="str">
        <f>IF(F71="","",_xlfn.RANK.EQ(F71,$F$66:$F$85,1)+COUNTIF($F$66:F90,F71)-1)</f>
        <v/>
      </c>
      <c r="H71" s="19" t="str">
        <f t="shared" si="29"/>
        <v/>
      </c>
      <c r="I71" s="18" t="str">
        <f t="shared" si="30"/>
        <v/>
      </c>
      <c r="J71" s="17" t="str">
        <f t="shared" si="31"/>
        <v/>
      </c>
      <c r="K71" s="16" t="str">
        <f t="shared" si="32"/>
        <v>~</v>
      </c>
    </row>
    <row r="72" spans="1:11" x14ac:dyDescent="0.25">
      <c r="B72" t="s">
        <v>119</v>
      </c>
      <c r="C72" t="s">
        <v>47</v>
      </c>
      <c r="D72">
        <f>VLOOKUP(C72,Lookups!$E$2:$F$47,2,FALSE)</f>
        <v>0.8</v>
      </c>
      <c r="E72" s="30"/>
      <c r="F72" s="29" t="str">
        <f t="shared" si="28"/>
        <v/>
      </c>
      <c r="G72" t="str">
        <f>IF(F72="","",_xlfn.RANK.EQ(F72,$F$66:$F$85,1)+COUNTIF($F$66:F91,F72)-1)</f>
        <v/>
      </c>
      <c r="H72" s="19" t="str">
        <f t="shared" si="29"/>
        <v/>
      </c>
      <c r="I72" s="18" t="str">
        <f t="shared" si="30"/>
        <v/>
      </c>
      <c r="J72" s="17" t="str">
        <f t="shared" si="31"/>
        <v/>
      </c>
      <c r="K72" s="16" t="str">
        <f t="shared" si="32"/>
        <v>~</v>
      </c>
    </row>
    <row r="73" spans="1:11" x14ac:dyDescent="0.25">
      <c r="B73" t="s">
        <v>58</v>
      </c>
      <c r="C73" t="s">
        <v>59</v>
      </c>
      <c r="D73">
        <f>VLOOKUP(C73,Lookups!$E$2:$F$47,2,FALSE)</f>
        <v>0.77</v>
      </c>
      <c r="E73" s="30"/>
      <c r="F73" s="29" t="str">
        <f t="shared" si="28"/>
        <v/>
      </c>
      <c r="G73" t="str">
        <f>IF(F73="","",_xlfn.RANK.EQ(F73,$F$66:$F$85,1)+COUNTIF($F$66:F95,F73)-1)</f>
        <v/>
      </c>
      <c r="H73" s="19" t="str">
        <f t="shared" si="29"/>
        <v/>
      </c>
      <c r="I73" s="18" t="str">
        <f t="shared" si="30"/>
        <v/>
      </c>
      <c r="J73" s="17" t="str">
        <f t="shared" si="31"/>
        <v/>
      </c>
      <c r="K73" s="16" t="str">
        <f t="shared" si="32"/>
        <v>~</v>
      </c>
    </row>
    <row r="74" spans="1:11" x14ac:dyDescent="0.25">
      <c r="B74" t="s">
        <v>112</v>
      </c>
      <c r="C74" t="s">
        <v>17</v>
      </c>
      <c r="D74">
        <f>VLOOKUP(C74,Lookups!$E$2:$F$47,2,FALSE)</f>
        <v>0.7</v>
      </c>
      <c r="E74" s="30"/>
      <c r="F74" s="29" t="str">
        <f t="shared" si="28"/>
        <v/>
      </c>
      <c r="G74" t="str">
        <f>IF(F74="","",_xlfn.RANK.EQ(F74,$F$66:$F$85,1)+COUNTIF($F$66:F96,F74)-1)</f>
        <v/>
      </c>
      <c r="H74" s="19" t="str">
        <f t="shared" si="29"/>
        <v/>
      </c>
      <c r="I74" s="18" t="str">
        <f t="shared" si="30"/>
        <v/>
      </c>
      <c r="J74" s="17" t="str">
        <f t="shared" si="31"/>
        <v/>
      </c>
      <c r="K74" s="16" t="str">
        <f t="shared" si="32"/>
        <v>~</v>
      </c>
    </row>
    <row r="75" spans="1:11" x14ac:dyDescent="0.25">
      <c r="B75" t="s">
        <v>113</v>
      </c>
      <c r="C75" t="s">
        <v>47</v>
      </c>
      <c r="D75">
        <f>VLOOKUP(C75,Lookups!$E$2:$F$47,2,FALSE)</f>
        <v>0.8</v>
      </c>
      <c r="E75" s="30"/>
      <c r="F75" s="29" t="str">
        <f t="shared" si="28"/>
        <v/>
      </c>
      <c r="G75" t="str">
        <f>IF(F75="","",_xlfn.RANK.EQ(F75,$F$66:$F$85,1)+COUNTIF($F$66:F97,F75)-1)</f>
        <v/>
      </c>
      <c r="H75" s="19" t="str">
        <f t="shared" si="29"/>
        <v/>
      </c>
      <c r="I75" s="18" t="str">
        <f t="shared" si="30"/>
        <v/>
      </c>
      <c r="J75" s="17" t="str">
        <f t="shared" si="31"/>
        <v/>
      </c>
      <c r="K75" s="16" t="str">
        <f t="shared" si="32"/>
        <v>~</v>
      </c>
    </row>
    <row r="76" spans="1:11" x14ac:dyDescent="0.25">
      <c r="A76">
        <v>5</v>
      </c>
      <c r="B76" t="s">
        <v>125</v>
      </c>
      <c r="C76" t="s">
        <v>49</v>
      </c>
      <c r="D76">
        <f>VLOOKUP(C76,Lookups!$E$2:$F$47,2,FALSE)</f>
        <v>0.7</v>
      </c>
      <c r="E76" s="30"/>
      <c r="F76" s="29" t="str">
        <f t="shared" si="28"/>
        <v/>
      </c>
      <c r="G76" t="str">
        <f>IF(F76="","",_xlfn.RANK.EQ(F76,$F$66:$F$85,1)+COUNTIF($F$66:F98,F76)-1)</f>
        <v/>
      </c>
      <c r="H76" s="19" t="str">
        <f t="shared" si="29"/>
        <v/>
      </c>
      <c r="I76" s="18" t="str">
        <f t="shared" si="30"/>
        <v/>
      </c>
      <c r="J76" s="17" t="str">
        <f t="shared" si="31"/>
        <v/>
      </c>
      <c r="K76" s="16" t="str">
        <f t="shared" si="32"/>
        <v>~</v>
      </c>
    </row>
    <row r="77" spans="1:11" x14ac:dyDescent="0.25">
      <c r="A77">
        <v>6</v>
      </c>
      <c r="B77" t="s">
        <v>69</v>
      </c>
      <c r="C77" t="s">
        <v>70</v>
      </c>
      <c r="D77">
        <f>VLOOKUP(C77,Lookups!$E$2:$F$47,2,FALSE)</f>
        <v>0.71</v>
      </c>
      <c r="E77" s="30">
        <v>3.5717592592592592E-2</v>
      </c>
      <c r="F77" s="29">
        <f t="shared" si="23"/>
        <v>2.5359490740740738E-2</v>
      </c>
      <c r="G77">
        <f>IF(F77="","",_xlfn.RANK.EQ(F77,$F$66:$F$85,1)+COUNTIF($F$66:F90,F77)-1)</f>
        <v>3</v>
      </c>
      <c r="H77" s="19">
        <f t="shared" si="24"/>
        <v>1067.893667047706</v>
      </c>
      <c r="I77" s="18">
        <f t="shared" si="25"/>
        <v>895.27443337927775</v>
      </c>
      <c r="J77" s="17">
        <f t="shared" si="26"/>
        <v>988.30240619902122</v>
      </c>
      <c r="K77" s="16">
        <f t="shared" si="27"/>
        <v>997</v>
      </c>
    </row>
    <row r="78" spans="1:11" x14ac:dyDescent="0.25">
      <c r="A78">
        <v>7</v>
      </c>
      <c r="B78" t="s">
        <v>71</v>
      </c>
      <c r="C78" t="s">
        <v>72</v>
      </c>
      <c r="D78">
        <f>VLOOKUP(C78,Lookups!$E$2:$F$47,2,FALSE)</f>
        <v>0.6</v>
      </c>
      <c r="E78" s="30"/>
      <c r="F78" s="29" t="str">
        <f t="shared" si="23"/>
        <v/>
      </c>
      <c r="G78" t="str">
        <f>IF(F78="","",_xlfn.RANK.EQ(F78,$F$66:$F$85,1)+COUNTIF($F$66:F91,F78)-1)</f>
        <v/>
      </c>
      <c r="H78" s="19" t="str">
        <f t="shared" si="24"/>
        <v/>
      </c>
      <c r="I78" s="18" t="str">
        <f t="shared" si="25"/>
        <v/>
      </c>
      <c r="J78" s="17" t="str">
        <f t="shared" si="26"/>
        <v/>
      </c>
      <c r="K78" s="16" t="str">
        <f t="shared" si="27"/>
        <v>~</v>
      </c>
    </row>
    <row r="79" spans="1:11" x14ac:dyDescent="0.25">
      <c r="A79">
        <v>8</v>
      </c>
      <c r="B79" t="s">
        <v>73</v>
      </c>
      <c r="C79" t="s">
        <v>63</v>
      </c>
      <c r="D79">
        <f>VLOOKUP(C79,Lookups!$E$2:$F$47,2,FALSE)</f>
        <v>0.62</v>
      </c>
      <c r="E79" s="30"/>
      <c r="F79" s="29" t="str">
        <f t="shared" si="23"/>
        <v/>
      </c>
      <c r="G79" t="str">
        <f>IF(F79="","",_xlfn.RANK.EQ(F79,$F$66:$F$85,1)+COUNTIF($F$66:F95,F79)-1)</f>
        <v/>
      </c>
      <c r="H79" s="19" t="str">
        <f t="shared" si="24"/>
        <v/>
      </c>
      <c r="I79" s="18" t="str">
        <f t="shared" si="25"/>
        <v/>
      </c>
      <c r="J79" s="17" t="str">
        <f t="shared" si="26"/>
        <v/>
      </c>
      <c r="K79" s="16" t="str">
        <f t="shared" si="27"/>
        <v>~</v>
      </c>
    </row>
    <row r="80" spans="1:11" x14ac:dyDescent="0.25">
      <c r="A80">
        <v>9</v>
      </c>
      <c r="B80" t="s">
        <v>74</v>
      </c>
      <c r="C80" t="s">
        <v>34</v>
      </c>
      <c r="D80">
        <f>VLOOKUP(C80,Lookups!$E$2:$F$47,2,FALSE)</f>
        <v>0.8</v>
      </c>
      <c r="E80" s="30"/>
      <c r="F80" s="29" t="str">
        <f t="shared" si="23"/>
        <v/>
      </c>
      <c r="G80" t="str">
        <f>IF(F80="","",_xlfn.RANK.EQ(F80,$F$66:$F$85,1)+COUNTIF($F$66:F96,F80)-1)</f>
        <v/>
      </c>
      <c r="H80" s="19" t="str">
        <f t="shared" si="24"/>
        <v/>
      </c>
      <c r="I80" s="18" t="str">
        <f t="shared" si="25"/>
        <v/>
      </c>
      <c r="J80" s="17" t="str">
        <f t="shared" si="26"/>
        <v/>
      </c>
      <c r="K80" s="16" t="str">
        <f t="shared" si="27"/>
        <v>~</v>
      </c>
    </row>
    <row r="81" spans="1:11" x14ac:dyDescent="0.25">
      <c r="A81">
        <v>10</v>
      </c>
      <c r="B81" t="s">
        <v>75</v>
      </c>
      <c r="C81" t="s">
        <v>21</v>
      </c>
      <c r="D81">
        <f>VLOOKUP(C81,Lookups!$E$2:$F$47,2,FALSE)</f>
        <v>0.84</v>
      </c>
      <c r="E81" s="30"/>
      <c r="F81" s="29" t="str">
        <f t="shared" si="23"/>
        <v/>
      </c>
      <c r="G81" t="str">
        <f>IF(F81="","",_xlfn.RANK.EQ(F81,$F$66:$F$85,1)+COUNTIF($F$66:F97,F81)-1)</f>
        <v/>
      </c>
      <c r="H81" s="19" t="str">
        <f t="shared" si="24"/>
        <v/>
      </c>
      <c r="I81" s="18" t="str">
        <f t="shared" si="25"/>
        <v/>
      </c>
      <c r="J81" s="17" t="str">
        <f t="shared" si="26"/>
        <v/>
      </c>
      <c r="K81" s="16" t="str">
        <f t="shared" si="27"/>
        <v>~</v>
      </c>
    </row>
    <row r="82" spans="1:11" x14ac:dyDescent="0.25">
      <c r="A82">
        <v>11</v>
      </c>
      <c r="B82" t="s">
        <v>76</v>
      </c>
      <c r="C82" t="s">
        <v>19</v>
      </c>
      <c r="D82">
        <f>VLOOKUP(C82,Lookups!$E$2:$F$47,2,FALSE)</f>
        <v>0.63</v>
      </c>
      <c r="E82" s="30"/>
      <c r="F82" s="29" t="str">
        <f t="shared" si="23"/>
        <v/>
      </c>
      <c r="G82" t="str">
        <f>IF(F82="","",_xlfn.RANK.EQ(F82,$F$66:$F$85,1)+COUNTIF($F$66:F98,F82)-1)</f>
        <v/>
      </c>
      <c r="H82" s="19" t="str">
        <f t="shared" si="24"/>
        <v/>
      </c>
      <c r="I82" s="18" t="str">
        <f t="shared" si="25"/>
        <v/>
      </c>
      <c r="J82" s="17" t="str">
        <f t="shared" si="26"/>
        <v/>
      </c>
      <c r="K82" s="16" t="str">
        <f t="shared" si="27"/>
        <v>~</v>
      </c>
    </row>
    <row r="83" spans="1:11" x14ac:dyDescent="0.25">
      <c r="A83">
        <v>12</v>
      </c>
      <c r="B83" t="s">
        <v>77</v>
      </c>
      <c r="C83" t="s">
        <v>49</v>
      </c>
      <c r="D83">
        <f>VLOOKUP(C83,Lookups!$E$2:$F$47,2,FALSE)</f>
        <v>0.7</v>
      </c>
      <c r="E83" s="30"/>
      <c r="F83" s="29" t="str">
        <f t="shared" si="23"/>
        <v/>
      </c>
      <c r="G83" t="str">
        <f>IF(F83="","",_xlfn.RANK.EQ(F83,$F$66:$F$85,1)+COUNTIF($F$66:F99,F83)-1)</f>
        <v/>
      </c>
      <c r="H83" s="19" t="str">
        <f t="shared" si="24"/>
        <v/>
      </c>
      <c r="I83" s="18" t="str">
        <f t="shared" si="25"/>
        <v/>
      </c>
      <c r="J83" s="17" t="str">
        <f t="shared" si="26"/>
        <v/>
      </c>
      <c r="K83" s="16" t="str">
        <f t="shared" si="27"/>
        <v>~</v>
      </c>
    </row>
    <row r="84" spans="1:11" x14ac:dyDescent="0.25">
      <c r="A84">
        <v>13</v>
      </c>
      <c r="B84" t="s">
        <v>57</v>
      </c>
      <c r="C84" t="s">
        <v>49</v>
      </c>
      <c r="D84">
        <f>VLOOKUP(C84,Lookups!$E$2:$F$47,2,FALSE)</f>
        <v>0.7</v>
      </c>
      <c r="E84" s="30">
        <v>4.7951388888888891E-2</v>
      </c>
      <c r="F84" s="29">
        <f t="shared" si="23"/>
        <v>3.3565972222222219E-2</v>
      </c>
      <c r="G84">
        <f>IF(F84="","",_xlfn.RANK.EQ(F84,$F$66:$F$85,1)+COUNTIF($F$66:F100,F84)-1)</f>
        <v>4</v>
      </c>
      <c r="H84" s="19">
        <f t="shared" si="24"/>
        <v>665.99580694163183</v>
      </c>
      <c r="I84" s="18">
        <f t="shared" si="25"/>
        <v>676.39046929416236</v>
      </c>
      <c r="J84" s="17">
        <f t="shared" si="26"/>
        <v>952.15640293637853</v>
      </c>
      <c r="K84" s="16">
        <f t="shared" si="27"/>
        <v>985</v>
      </c>
    </row>
    <row r="85" spans="1:11" x14ac:dyDescent="0.25">
      <c r="A85">
        <v>14</v>
      </c>
      <c r="B85" t="s">
        <v>79</v>
      </c>
      <c r="C85" t="s">
        <v>80</v>
      </c>
      <c r="D85">
        <f>VLOOKUP(C85,Lookups!$E$2:$F$47,2,FALSE)</f>
        <v>0.53</v>
      </c>
      <c r="E85" s="30"/>
      <c r="F85" s="29" t="str">
        <f t="shared" si="23"/>
        <v/>
      </c>
      <c r="G85" t="str">
        <f>IF(F85="","",_xlfn.RANK.EQ(F85,$F$66:$F$85,1)+COUNTIF($F$66:F101,F85)-1)</f>
        <v/>
      </c>
      <c r="H85" s="19" t="str">
        <f t="shared" si="24"/>
        <v/>
      </c>
      <c r="I85" s="18" t="str">
        <f t="shared" si="25"/>
        <v/>
      </c>
      <c r="J85" s="17" t="str">
        <f t="shared" si="26"/>
        <v/>
      </c>
      <c r="K85" s="16" t="str">
        <f t="shared" si="27"/>
        <v>~</v>
      </c>
    </row>
    <row r="86" spans="1:11" x14ac:dyDescent="0.25">
      <c r="E86" s="26"/>
    </row>
    <row r="87" spans="1:11" x14ac:dyDescent="0.25">
      <c r="A87" t="s">
        <v>81</v>
      </c>
      <c r="E87" s="26"/>
    </row>
    <row r="88" spans="1:11" ht="30" x14ac:dyDescent="0.25">
      <c r="A88" t="s">
        <v>8</v>
      </c>
      <c r="B88" t="s">
        <v>9</v>
      </c>
      <c r="C88" t="s">
        <v>10</v>
      </c>
      <c r="D88" t="s">
        <v>54</v>
      </c>
      <c r="E88" s="27" t="s">
        <v>95</v>
      </c>
      <c r="F88" s="24" t="s">
        <v>94</v>
      </c>
      <c r="G88" s="24" t="s">
        <v>8</v>
      </c>
      <c r="H88" s="23" t="s">
        <v>93</v>
      </c>
      <c r="I88" s="22" t="s">
        <v>92</v>
      </c>
      <c r="J88" s="21" t="s">
        <v>91</v>
      </c>
      <c r="K88" s="20" t="s">
        <v>90</v>
      </c>
    </row>
    <row r="89" spans="1:11" x14ac:dyDescent="0.25">
      <c r="A89">
        <v>1</v>
      </c>
      <c r="B89" t="s">
        <v>65</v>
      </c>
      <c r="C89" t="s">
        <v>108</v>
      </c>
      <c r="D89">
        <f>VLOOKUP(C89,Lookups!$E$2:$F$47,2,FALSE)</f>
        <v>0.65</v>
      </c>
      <c r="E89" s="30"/>
      <c r="F89" s="29" t="str">
        <f>IF(E89="","",E89*D89)</f>
        <v/>
      </c>
      <c r="G89" t="str">
        <f>IF(F89="","",_xlfn.RANK.EQ(F89,$F$89:$F$102,1)+COUNTIF($F$89:F102,F89)-1)</f>
        <v/>
      </c>
      <c r="H89" s="19" t="str">
        <f>IFERROR((1000+200*(AVERAGE($F$89:$F$102)-F89)/_xlfn.STDEV.P($F$89:$F$102)),"")</f>
        <v/>
      </c>
      <c r="I89" s="18" t="str">
        <f>IFERROR(((1000*SMALL($F$89:$F$102,1)/F89)),"")</f>
        <v/>
      </c>
      <c r="J89" s="17" t="str">
        <f>IF(E89="","",IF(F89&gt;=2*SMALL($F$89:$F$102,1),0,1000-((F89-SMALL($F$89:$F$102,1))/SMALL($F$89:$F$102,1)*100)))</f>
        <v/>
      </c>
      <c r="K89" s="16" t="str">
        <f>IFERROR((1000-MINUTE(F89-SMALL($F$89:$F$102,1))),"~")</f>
        <v>~</v>
      </c>
    </row>
    <row r="90" spans="1:11" x14ac:dyDescent="0.25">
      <c r="A90">
        <v>2</v>
      </c>
      <c r="B90" t="s">
        <v>68</v>
      </c>
      <c r="C90" t="s">
        <v>63</v>
      </c>
      <c r="D90">
        <f>VLOOKUP(C90,Lookups!$E$2:$F$47,2,FALSE)</f>
        <v>0.62</v>
      </c>
      <c r="E90" s="30"/>
      <c r="F90" s="29" t="str">
        <f t="shared" ref="F90:F102" si="33">IF(E90="","",E90*D90)</f>
        <v/>
      </c>
      <c r="G90" t="str">
        <f>IF(F90="","",_xlfn.RANK.EQ(F90,$F$89:$F$102,1)+COUNTIF($F$89:F103,F90)-1)</f>
        <v/>
      </c>
      <c r="H90" s="19" t="str">
        <f t="shared" ref="H90:H102" si="34">IFERROR((1000+200*(AVERAGE($F$89:$F$102)-F90)/_xlfn.STDEV.P($F$89:$F$102)),"")</f>
        <v/>
      </c>
      <c r="I90" s="18" t="str">
        <f t="shared" ref="I90:I102" si="35">IFERROR(((1000*SMALL($F$89:$F$102,1)/F90)),"")</f>
        <v/>
      </c>
      <c r="J90" s="17" t="str">
        <f t="shared" ref="J90:J102" si="36">IF(E90="","",IF(F90&gt;=2*SMALL($F$89:$F$102,1),0,1000-((F90-SMALL($F$89:$F$102,1))/SMALL($F$89:$F$102,1)*100)))</f>
        <v/>
      </c>
      <c r="K90" s="16" t="str">
        <f t="shared" ref="K90:K102" si="37">IFERROR((1000-MINUTE(F90-SMALL($F$89:$F$102,1))),"~")</f>
        <v>~</v>
      </c>
    </row>
    <row r="91" spans="1:11" x14ac:dyDescent="0.25">
      <c r="A91">
        <v>3</v>
      </c>
      <c r="B91" t="s">
        <v>71</v>
      </c>
      <c r="C91" t="s">
        <v>72</v>
      </c>
      <c r="D91">
        <f>VLOOKUP(C91,Lookups!$E$2:$F$47,2,FALSE)</f>
        <v>0.6</v>
      </c>
      <c r="E91" s="30"/>
      <c r="F91" s="29" t="str">
        <f t="shared" si="33"/>
        <v/>
      </c>
      <c r="G91" t="str">
        <f>IF(F91="","",_xlfn.RANK.EQ(F91,$F$89:$F$102,1)+COUNTIF($F$89:F104,F91)-1)</f>
        <v/>
      </c>
      <c r="H91" s="19" t="str">
        <f t="shared" si="34"/>
        <v/>
      </c>
      <c r="I91" s="18" t="str">
        <f t="shared" si="35"/>
        <v/>
      </c>
      <c r="J91" s="17" t="str">
        <f t="shared" si="36"/>
        <v/>
      </c>
      <c r="K91" s="16" t="str">
        <f t="shared" si="37"/>
        <v>~</v>
      </c>
    </row>
    <row r="92" spans="1:11" x14ac:dyDescent="0.25">
      <c r="B92" t="s">
        <v>120</v>
      </c>
      <c r="C92" t="s">
        <v>72</v>
      </c>
      <c r="D92">
        <f>VLOOKUP(C92,Lookups!$E$2:$F$47,2,FALSE)</f>
        <v>0.6</v>
      </c>
      <c r="E92" s="30"/>
      <c r="F92" s="29" t="str">
        <f t="shared" ref="F92:F94" si="38">IF(E92="","",E92*D92)</f>
        <v/>
      </c>
      <c r="G92" t="str">
        <f>IF(F92="","",_xlfn.RANK.EQ(F92,$F$89:$F$102,1)+COUNTIF($F$89:F105,F92)-1)</f>
        <v/>
      </c>
      <c r="H92" s="19" t="str">
        <f t="shared" ref="H92:H94" si="39">IFERROR((1000+200*(AVERAGE($F$89:$F$102)-F92)/_xlfn.STDEV.P($F$89:$F$102)),"")</f>
        <v/>
      </c>
      <c r="I92" s="18" t="str">
        <f t="shared" ref="I92:I94" si="40">IFERROR(((1000*SMALL($F$89:$F$102,1)/F92)),"")</f>
        <v/>
      </c>
      <c r="J92" s="17" t="str">
        <f t="shared" ref="J92:J94" si="41">IF(E92="","",IF(F92&gt;=2*SMALL($F$89:$F$102,1),0,1000-((F92-SMALL($F$89:$F$102,1))/SMALL($F$89:$F$102,1)*100)))</f>
        <v/>
      </c>
      <c r="K92" s="16" t="str">
        <f t="shared" ref="K92:K94" si="42">IFERROR((1000-MINUTE(F92-SMALL($F$89:$F$102,1))),"~")</f>
        <v>~</v>
      </c>
    </row>
    <row r="93" spans="1:11" x14ac:dyDescent="0.25">
      <c r="B93" t="s">
        <v>122</v>
      </c>
      <c r="C93" t="s">
        <v>66</v>
      </c>
      <c r="D93">
        <f>VLOOKUP(C93,Lookups!$E$2:$F$47,2,FALSE)</f>
        <v>0.57999999999999996</v>
      </c>
      <c r="E93" s="30"/>
      <c r="F93" s="29" t="str">
        <f t="shared" si="38"/>
        <v/>
      </c>
      <c r="G93" t="str">
        <f>IF(F93="","",_xlfn.RANK.EQ(F93,$F$89:$F$102,1)+COUNTIF($F$89:F106,F93)-1)</f>
        <v/>
      </c>
      <c r="H93" s="19" t="str">
        <f t="shared" si="39"/>
        <v/>
      </c>
      <c r="I93" s="18" t="str">
        <f t="shared" si="40"/>
        <v/>
      </c>
      <c r="J93" s="17" t="str">
        <f t="shared" si="41"/>
        <v/>
      </c>
      <c r="K93" s="16" t="str">
        <f t="shared" si="42"/>
        <v>~</v>
      </c>
    </row>
    <row r="94" spans="1:11" x14ac:dyDescent="0.25">
      <c r="B94" t="s">
        <v>121</v>
      </c>
      <c r="C94" t="s">
        <v>72</v>
      </c>
      <c r="D94">
        <f>VLOOKUP(C94,Lookups!$E$2:$F$47,2,FALSE)</f>
        <v>0.6</v>
      </c>
      <c r="E94" s="30"/>
      <c r="F94" s="29" t="str">
        <f t="shared" si="38"/>
        <v/>
      </c>
      <c r="G94" t="str">
        <f>IF(F94="","",_xlfn.RANK.EQ(F94,$F$89:$F$102,1)+COUNTIF($F$89:F107,F94)-1)</f>
        <v/>
      </c>
      <c r="H94" s="19" t="str">
        <f t="shared" si="39"/>
        <v/>
      </c>
      <c r="I94" s="18" t="str">
        <f t="shared" si="40"/>
        <v/>
      </c>
      <c r="J94" s="17" t="str">
        <f t="shared" si="41"/>
        <v/>
      </c>
      <c r="K94" s="16" t="str">
        <f t="shared" si="42"/>
        <v>~</v>
      </c>
    </row>
    <row r="95" spans="1:11" x14ac:dyDescent="0.25">
      <c r="A95">
        <v>4</v>
      </c>
      <c r="B95" t="s">
        <v>83</v>
      </c>
      <c r="C95" t="s">
        <v>66</v>
      </c>
      <c r="D95">
        <f>VLOOKUP(C95,Lookups!$E$2:$F$47,2,FALSE)</f>
        <v>0.57999999999999996</v>
      </c>
      <c r="E95" s="30"/>
      <c r="F95" s="29" t="str">
        <f t="shared" si="33"/>
        <v/>
      </c>
      <c r="G95" t="str">
        <f>IF(F95="","",_xlfn.RANK.EQ(F95,$F$89:$F$102,1)+COUNTIF($F$89:F105,F95)-1)</f>
        <v/>
      </c>
      <c r="H95" s="19" t="str">
        <f t="shared" si="34"/>
        <v/>
      </c>
      <c r="I95" s="18" t="str">
        <f t="shared" si="35"/>
        <v/>
      </c>
      <c r="J95" s="17" t="str">
        <f t="shared" si="36"/>
        <v/>
      </c>
      <c r="K95" s="16" t="str">
        <f t="shared" si="37"/>
        <v>~</v>
      </c>
    </row>
    <row r="96" spans="1:11" x14ac:dyDescent="0.25">
      <c r="A96">
        <v>4</v>
      </c>
      <c r="B96" t="s">
        <v>112</v>
      </c>
      <c r="C96" t="s">
        <v>17</v>
      </c>
      <c r="D96">
        <f>VLOOKUP(C96,Lookups!$E$2:$F$47,2,FALSE)</f>
        <v>0.7</v>
      </c>
      <c r="E96" s="30">
        <v>1.3668981481481482E-2</v>
      </c>
      <c r="F96" s="29">
        <f t="shared" si="33"/>
        <v>9.5682870370370366E-3</v>
      </c>
      <c r="G96">
        <f>IF(F96="","",_xlfn.RANK.EQ(F96,$F$89:$F$102,1)+COUNTIF($F$89:F106,F96)-1)</f>
        <v>1</v>
      </c>
      <c r="H96" s="19">
        <f t="shared" si="34"/>
        <v>1200</v>
      </c>
      <c r="I96" s="18">
        <f t="shared" si="35"/>
        <v>1000</v>
      </c>
      <c r="J96" s="17">
        <f t="shared" si="36"/>
        <v>1000</v>
      </c>
      <c r="K96" s="16">
        <f t="shared" si="37"/>
        <v>1000</v>
      </c>
    </row>
    <row r="97" spans="1:11" x14ac:dyDescent="0.25">
      <c r="A97">
        <v>6</v>
      </c>
      <c r="B97" t="s">
        <v>85</v>
      </c>
      <c r="C97" t="s">
        <v>72</v>
      </c>
      <c r="D97">
        <f>VLOOKUP(C97,Lookups!$E$2:$F$47,2,FALSE)</f>
        <v>0.6</v>
      </c>
      <c r="E97" s="30"/>
      <c r="F97" s="29" t="str">
        <f t="shared" si="33"/>
        <v/>
      </c>
      <c r="G97" t="str">
        <f>IF(F97="","",_xlfn.RANK.EQ(F97,$F$89:$F$102,1)+COUNTIF($F$89:F107,F97)-1)</f>
        <v/>
      </c>
      <c r="H97" s="19" t="str">
        <f t="shared" si="34"/>
        <v/>
      </c>
      <c r="I97" s="18" t="str">
        <f t="shared" si="35"/>
        <v/>
      </c>
      <c r="J97" s="17" t="str">
        <f t="shared" si="36"/>
        <v/>
      </c>
      <c r="K97" s="16" t="str">
        <f t="shared" si="37"/>
        <v>~</v>
      </c>
    </row>
    <row r="98" spans="1:11" x14ac:dyDescent="0.25">
      <c r="A98">
        <v>7</v>
      </c>
      <c r="B98" t="s">
        <v>57</v>
      </c>
      <c r="C98" t="s">
        <v>49</v>
      </c>
      <c r="D98">
        <f>VLOOKUP(C98,Lookups!$E$2:$F$47,2,FALSE)</f>
        <v>0.7</v>
      </c>
      <c r="E98" s="30"/>
      <c r="F98" s="29" t="str">
        <f t="shared" si="33"/>
        <v/>
      </c>
      <c r="G98" t="str">
        <f>IF(F98="","",_xlfn.RANK.EQ(F98,$F$89:$F$102,1)+COUNTIF($F$89:F108,F98)-1)</f>
        <v/>
      </c>
      <c r="H98" s="19" t="str">
        <f t="shared" si="34"/>
        <v/>
      </c>
      <c r="I98" s="18" t="str">
        <f t="shared" si="35"/>
        <v/>
      </c>
      <c r="J98" s="17" t="str">
        <f t="shared" si="36"/>
        <v/>
      </c>
      <c r="K98" s="16" t="str">
        <f t="shared" si="37"/>
        <v>~</v>
      </c>
    </row>
    <row r="99" spans="1:11" x14ac:dyDescent="0.25">
      <c r="A99">
        <v>8</v>
      </c>
      <c r="B99" t="s">
        <v>86</v>
      </c>
      <c r="C99" t="s">
        <v>66</v>
      </c>
      <c r="D99">
        <f>VLOOKUP(C99,Lookups!$E$2:$F$47,2,FALSE)</f>
        <v>0.57999999999999996</v>
      </c>
      <c r="E99" s="30"/>
      <c r="F99" s="29" t="str">
        <f t="shared" si="33"/>
        <v/>
      </c>
      <c r="G99" t="str">
        <f>IF(F99="","",_xlfn.RANK.EQ(F99,$F$89:$F$102,1)+COUNTIF($F$89:F109,F99)-1)</f>
        <v/>
      </c>
      <c r="H99" s="19" t="str">
        <f t="shared" si="34"/>
        <v/>
      </c>
      <c r="I99" s="18" t="str">
        <f t="shared" si="35"/>
        <v/>
      </c>
      <c r="J99" s="17" t="str">
        <f t="shared" si="36"/>
        <v/>
      </c>
      <c r="K99" s="16" t="str">
        <f t="shared" si="37"/>
        <v>~</v>
      </c>
    </row>
    <row r="100" spans="1:11" x14ac:dyDescent="0.25">
      <c r="A100">
        <v>9</v>
      </c>
      <c r="B100" t="s">
        <v>77</v>
      </c>
      <c r="C100" t="s">
        <v>34</v>
      </c>
      <c r="D100">
        <f>VLOOKUP(C100,Lookups!$E$2:$F$47,2,FALSE)</f>
        <v>0.8</v>
      </c>
      <c r="E100" s="30">
        <v>1.7719907407407406E-2</v>
      </c>
      <c r="F100" s="29">
        <f t="shared" si="33"/>
        <v>1.4175925925925925E-2</v>
      </c>
      <c r="G100">
        <f>IF(F100="","",_xlfn.RANK.EQ(F100,$F$89:$F$102,1)+COUNTIF($F$89:F110,F100)-1)</f>
        <v>2</v>
      </c>
      <c r="H100" s="19">
        <f t="shared" si="34"/>
        <v>799.99999999999989</v>
      </c>
      <c r="I100" s="18">
        <f t="shared" si="35"/>
        <v>674.96734160679296</v>
      </c>
      <c r="J100" s="17">
        <f t="shared" si="36"/>
        <v>951.84468368210958</v>
      </c>
      <c r="K100" s="16">
        <f t="shared" si="37"/>
        <v>994</v>
      </c>
    </row>
    <row r="101" spans="1:11" x14ac:dyDescent="0.25">
      <c r="A101">
        <v>9</v>
      </c>
      <c r="B101" t="s">
        <v>88</v>
      </c>
      <c r="C101" t="s">
        <v>66</v>
      </c>
      <c r="D101">
        <f>VLOOKUP(C101,Lookups!$E$2:$F$47,2,FALSE)</f>
        <v>0.57999999999999996</v>
      </c>
      <c r="E101" s="30"/>
      <c r="F101" s="29" t="str">
        <f t="shared" si="33"/>
        <v/>
      </c>
      <c r="G101" t="str">
        <f>IF(F101="","",_xlfn.RANK.EQ(F101,$F$89:$F$102,1)+COUNTIF($F$89:F111,F101)-1)</f>
        <v/>
      </c>
      <c r="H101" s="19" t="str">
        <f t="shared" si="34"/>
        <v/>
      </c>
      <c r="I101" s="18" t="str">
        <f t="shared" si="35"/>
        <v/>
      </c>
      <c r="J101" s="17" t="str">
        <f t="shared" si="36"/>
        <v/>
      </c>
      <c r="K101" s="16" t="str">
        <f t="shared" si="37"/>
        <v>~</v>
      </c>
    </row>
    <row r="102" spans="1:11" x14ac:dyDescent="0.25">
      <c r="A102">
        <v>9</v>
      </c>
      <c r="B102" t="s">
        <v>89</v>
      </c>
      <c r="C102" t="s">
        <v>72</v>
      </c>
      <c r="D102">
        <f>VLOOKUP(C102,Lookups!$E$2:$F$47,2,FALSE)</f>
        <v>0.6</v>
      </c>
      <c r="E102" s="30"/>
      <c r="F102" s="29" t="str">
        <f t="shared" si="33"/>
        <v/>
      </c>
      <c r="G102" t="str">
        <f>IF(F102="","",_xlfn.RANK.EQ(F102,$F$89:$F$102,1)+COUNTIF($F$89:F112,F102)-1)</f>
        <v/>
      </c>
      <c r="H102" s="19" t="str">
        <f t="shared" si="34"/>
        <v/>
      </c>
      <c r="I102" s="18" t="str">
        <f t="shared" si="35"/>
        <v/>
      </c>
      <c r="J102" s="17" t="str">
        <f t="shared" si="36"/>
        <v/>
      </c>
      <c r="K102" s="16" t="str">
        <f t="shared" si="37"/>
        <v>~</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03"/>
  <sheetViews>
    <sheetView topLeftCell="A45" zoomScale="90" zoomScaleNormal="90" workbookViewId="0">
      <selection activeCell="D56" sqref="D56"/>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s>
  <sheetData>
    <row r="2" spans="1:19" x14ac:dyDescent="0.25">
      <c r="E2" s="30">
        <v>7.829861111111111E-2</v>
      </c>
      <c r="F2" s="29">
        <f>E2*D7</f>
        <v>6.2638888888888897E-2</v>
      </c>
    </row>
    <row r="5" spans="1:19" x14ac:dyDescent="0.25">
      <c r="A5" t="s">
        <v>7</v>
      </c>
    </row>
    <row r="6" spans="1:19" ht="30" x14ac:dyDescent="0.25">
      <c r="A6" s="24" t="s">
        <v>8</v>
      </c>
      <c r="B6" s="24" t="s">
        <v>9</v>
      </c>
      <c r="C6" s="24" t="s">
        <v>10</v>
      </c>
      <c r="D6" s="24" t="s">
        <v>12</v>
      </c>
      <c r="E6" s="28" t="s">
        <v>95</v>
      </c>
      <c r="F6" s="24" t="s">
        <v>94</v>
      </c>
      <c r="G6" s="24" t="s">
        <v>8</v>
      </c>
      <c r="H6" s="23" t="s">
        <v>93</v>
      </c>
      <c r="I6" s="22" t="s">
        <v>92</v>
      </c>
      <c r="J6" s="21" t="s">
        <v>91</v>
      </c>
      <c r="K6" s="20" t="s">
        <v>90</v>
      </c>
    </row>
    <row r="7" spans="1:19" x14ac:dyDescent="0.25">
      <c r="A7">
        <v>1</v>
      </c>
      <c r="B7" t="s">
        <v>16</v>
      </c>
      <c r="C7" t="s">
        <v>110</v>
      </c>
      <c r="D7">
        <f>VLOOKUP(C7,Lookups!$E$2:$F$47,2,FALSE)</f>
        <v>0.8</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J34" si="2">IF(E7="","",IF(F7&gt;=2*SMALL($F$7:$F$34,1),0,1000-((F7-SMALL($F$7:$F$34,1))/SMALL($F$7:$F$34,1)*100)))</f>
        <v/>
      </c>
      <c r="K7" s="16" t="str">
        <f t="shared" ref="K7:K34" si="3">IFERROR((1000-MINUTE(F7-SMALL($F$7:$F$34,1))),"~")</f>
        <v>~</v>
      </c>
    </row>
    <row r="8" spans="1:19" x14ac:dyDescent="0.25">
      <c r="A8">
        <v>2</v>
      </c>
      <c r="B8" t="s">
        <v>20</v>
      </c>
      <c r="C8" t="s">
        <v>39</v>
      </c>
      <c r="D8">
        <f>VLOOKUP(C8,Lookups!$E$2:$F$47,2,FALSE)</f>
        <v>0.9</v>
      </c>
      <c r="E8" s="30">
        <v>2.7766203703703706E-2</v>
      </c>
      <c r="F8" s="29">
        <f t="shared" si="0"/>
        <v>2.4989583333333336E-2</v>
      </c>
      <c r="G8">
        <f>IF(F8="","",_xlfn.RANK.EQ(F8,$F$7:$F$34,1)+COUNTIF($F$7:F8,F8)-1)</f>
        <v>2</v>
      </c>
      <c r="H8" s="19">
        <f t="shared" si="1"/>
        <v>1142.5434014700891</v>
      </c>
      <c r="I8" s="18">
        <f>IFERROR(((1000*SMALL($F$7:$F$34,1)/F8)),"")</f>
        <v>922.69927284516677</v>
      </c>
      <c r="J8" s="17">
        <f t="shared" si="2"/>
        <v>991.62232707559474</v>
      </c>
      <c r="K8" s="16">
        <f t="shared" si="3"/>
        <v>998</v>
      </c>
    </row>
    <row r="9" spans="1:19" x14ac:dyDescent="0.25">
      <c r="A9">
        <v>3</v>
      </c>
      <c r="B9" t="s">
        <v>3</v>
      </c>
      <c r="C9" t="s">
        <v>19</v>
      </c>
      <c r="D9">
        <f>VLOOKUP(C9,Lookups!$E$2:$F$47,2,FALSE)</f>
        <v>0.63</v>
      </c>
      <c r="E9" s="30">
        <v>4.010416666666667E-2</v>
      </c>
      <c r="F9" s="29">
        <f t="shared" si="0"/>
        <v>2.5265625000000003E-2</v>
      </c>
      <c r="G9">
        <f>IF(F9="","",_xlfn.RANK.EQ(F9,$F$7:$F$34,1)+COUNTIF($F$7:F9,F9)-1)</f>
        <v>3</v>
      </c>
      <c r="H9" s="19">
        <f t="shared" si="1"/>
        <v>1138.8054286379049</v>
      </c>
      <c r="I9" s="18">
        <f t="shared" ref="I9:I34" si="4">IFERROR(((1000*SMALL($F$7:$F$34,1)/F9)),"")</f>
        <v>912.61824595157907</v>
      </c>
      <c r="J9" s="17">
        <f t="shared" si="2"/>
        <v>990.42515811665487</v>
      </c>
      <c r="K9" s="16">
        <f t="shared" si="3"/>
        <v>997</v>
      </c>
    </row>
    <row r="10" spans="1:19" x14ac:dyDescent="0.25">
      <c r="A10">
        <v>4</v>
      </c>
      <c r="B10" t="s">
        <v>23</v>
      </c>
      <c r="C10" t="s">
        <v>24</v>
      </c>
      <c r="D10">
        <f>VLOOKUP(C10,Lookups!$E$2:$F$47,2,FALSE)</f>
        <v>0.7</v>
      </c>
      <c r="E10" s="30">
        <v>5.1562500000000004E-2</v>
      </c>
      <c r="F10" s="29">
        <f t="shared" si="0"/>
        <v>3.6093750000000001E-2</v>
      </c>
      <c r="G10">
        <f>IF(F10="","",_xlfn.RANK.EQ(F10,$F$7:$F$34,1)+COUNTIF($F$7:F10,F10)-1)</f>
        <v>8</v>
      </c>
      <c r="H10" s="19">
        <f t="shared" si="1"/>
        <v>992.17815471128665</v>
      </c>
      <c r="I10" s="18">
        <f t="shared" si="4"/>
        <v>638.83277216610543</v>
      </c>
      <c r="J10" s="17">
        <f t="shared" si="2"/>
        <v>943.46451159522132</v>
      </c>
      <c r="K10" s="16">
        <f t="shared" si="3"/>
        <v>982</v>
      </c>
      <c r="Q10" s="25"/>
    </row>
    <row r="11" spans="1:19" x14ac:dyDescent="0.25">
      <c r="A11">
        <v>5</v>
      </c>
      <c r="B11" t="s">
        <v>6</v>
      </c>
      <c r="C11" t="s">
        <v>19</v>
      </c>
      <c r="D11">
        <f>VLOOKUP(C11,Lookups!$E$2:$F$47,2,FALSE)</f>
        <v>0.63</v>
      </c>
      <c r="E11" s="30"/>
      <c r="F11" s="29" t="str">
        <f t="shared" si="0"/>
        <v/>
      </c>
      <c r="G11" t="str">
        <f>IF(F11="","",_xlfn.RANK.EQ(F11,$F$7:$F$34,1)+COUNTIF($F$7:F11,F11)-1)</f>
        <v/>
      </c>
      <c r="H11" s="19" t="str">
        <f t="shared" si="1"/>
        <v/>
      </c>
      <c r="I11" s="18" t="str">
        <f t="shared" si="4"/>
        <v/>
      </c>
      <c r="J11" s="17" t="str">
        <f t="shared" si="2"/>
        <v/>
      </c>
      <c r="K11" s="16" t="str">
        <f t="shared" si="3"/>
        <v>~</v>
      </c>
      <c r="S11">
        <f t="shared" ref="S11:S17" ca="1" si="5">RANDBETWEEN(45,200)</f>
        <v>64</v>
      </c>
    </row>
    <row r="12" spans="1:19" x14ac:dyDescent="0.25">
      <c r="A12">
        <v>6</v>
      </c>
      <c r="B12" t="s">
        <v>0</v>
      </c>
      <c r="C12" t="s">
        <v>27</v>
      </c>
      <c r="D12">
        <f>VLOOKUP(C12,Lookups!$E$2:$F$47,2,FALSE)</f>
        <v>0.86</v>
      </c>
      <c r="E12" s="30">
        <v>3.8530092592592595E-2</v>
      </c>
      <c r="F12" s="29">
        <f t="shared" si="0"/>
        <v>3.3135879629629633E-2</v>
      </c>
      <c r="G12">
        <f>IF(F12="","",_xlfn.RANK.EQ(F12,$F$7:$F$34,1)+COUNTIF($F$7:F12,F12)-1)</f>
        <v>6</v>
      </c>
      <c r="H12" s="19">
        <f t="shared" si="1"/>
        <v>1032.2316698891891</v>
      </c>
      <c r="I12" s="18">
        <f t="shared" si="4"/>
        <v>695.85810390717211</v>
      </c>
      <c r="J12" s="17">
        <f t="shared" si="2"/>
        <v>956.29254090954714</v>
      </c>
      <c r="K12" s="16">
        <f t="shared" si="3"/>
        <v>986</v>
      </c>
      <c r="S12">
        <f t="shared" ca="1" si="5"/>
        <v>78</v>
      </c>
    </row>
    <row r="13" spans="1:19" x14ac:dyDescent="0.25">
      <c r="A13">
        <v>7</v>
      </c>
      <c r="B13" t="s">
        <v>5</v>
      </c>
      <c r="C13" t="s">
        <v>43</v>
      </c>
      <c r="D13">
        <f>VLOOKUP(C13,Lookups!$E$2:$F$47,2,FALSE)</f>
        <v>0.64</v>
      </c>
      <c r="E13" s="30">
        <v>5.0671296296296298E-2</v>
      </c>
      <c r="F13" s="29">
        <f t="shared" si="0"/>
        <v>3.2429629629629628E-2</v>
      </c>
      <c r="G13">
        <f>IF(F13="","",_xlfn.RANK.EQ(F13,$F$7:$F$34,1)+COUNTIF($F$7:F13,F13)-1)</f>
        <v>5</v>
      </c>
      <c r="H13" s="19">
        <f t="shared" si="1"/>
        <v>1041.7952381164375</v>
      </c>
      <c r="I13" s="18">
        <f t="shared" si="4"/>
        <v>711.01244860666964</v>
      </c>
      <c r="J13" s="17">
        <f t="shared" si="2"/>
        <v>959.35548639694809</v>
      </c>
      <c r="K13" s="16">
        <f t="shared" si="3"/>
        <v>987</v>
      </c>
      <c r="S13">
        <f t="shared" ca="1" si="5"/>
        <v>184</v>
      </c>
    </row>
    <row r="14" spans="1:19" x14ac:dyDescent="0.25">
      <c r="A14">
        <v>8</v>
      </c>
      <c r="B14" t="s">
        <v>29</v>
      </c>
      <c r="C14" t="s">
        <v>39</v>
      </c>
      <c r="D14">
        <f>VLOOKUP(C14,Lookups!$E$2:$F$47,2,FALSE)</f>
        <v>0.9</v>
      </c>
      <c r="E14" s="30">
        <v>3.8136574074074073E-2</v>
      </c>
      <c r="F14" s="29">
        <f t="shared" si="0"/>
        <v>3.4322916666666668E-2</v>
      </c>
      <c r="G14">
        <f>IF(F14="","",_xlfn.RANK.EQ(F14,$F$7:$F$34,1)+COUNTIF($F$7:F14,F14)-1)</f>
        <v>7</v>
      </c>
      <c r="H14" s="19">
        <f t="shared" si="1"/>
        <v>1016.1576030686941</v>
      </c>
      <c r="I14" s="18">
        <f t="shared" si="4"/>
        <v>671.79227786208048</v>
      </c>
      <c r="J14" s="17">
        <f t="shared" si="2"/>
        <v>951.14446340728841</v>
      </c>
      <c r="K14" s="16">
        <f t="shared" si="3"/>
        <v>984</v>
      </c>
      <c r="S14">
        <f t="shared" ca="1" si="5"/>
        <v>114</v>
      </c>
    </row>
    <row r="15" spans="1:19" x14ac:dyDescent="0.25">
      <c r="A15">
        <v>9</v>
      </c>
      <c r="B15" t="s">
        <v>30</v>
      </c>
      <c r="C15" t="s">
        <v>21</v>
      </c>
      <c r="D15">
        <f>VLOOKUP(C15,Lookups!$E$2:$F$47,2,FALSE)</f>
        <v>0.84</v>
      </c>
      <c r="E15" s="30"/>
      <c r="F15" s="29" t="str">
        <f t="shared" si="0"/>
        <v/>
      </c>
      <c r="G15" t="str">
        <f>IF(F15="","",_xlfn.RANK.EQ(F15,$F$7:$F$34,1)+COUNTIF($F$7:F15,F15)-1)</f>
        <v/>
      </c>
      <c r="H15" s="19" t="str">
        <f t="shared" si="1"/>
        <v/>
      </c>
      <c r="I15" s="18" t="str">
        <f t="shared" si="4"/>
        <v/>
      </c>
      <c r="J15" s="17" t="str">
        <f t="shared" si="2"/>
        <v/>
      </c>
      <c r="K15" s="16" t="str">
        <f t="shared" si="3"/>
        <v>~</v>
      </c>
      <c r="S15">
        <f t="shared" ca="1" si="5"/>
        <v>117</v>
      </c>
    </row>
    <row r="16" spans="1:19" x14ac:dyDescent="0.25">
      <c r="A16">
        <v>10</v>
      </c>
      <c r="B16" t="s">
        <v>25</v>
      </c>
      <c r="C16" t="s">
        <v>26</v>
      </c>
      <c r="D16">
        <f>VLOOKUP(C16,Lookups!$E$2:$F$47,2,FALSE)</f>
        <v>0.67</v>
      </c>
      <c r="E16" s="30">
        <v>4.1215277777777774E-2</v>
      </c>
      <c r="F16" s="29">
        <f t="shared" si="0"/>
        <v>2.761423611111111E-2</v>
      </c>
      <c r="G16">
        <f>IF(F16="","",_xlfn.RANK.EQ(F16,$F$7:$F$34,1)+COUNTIF($F$7:F16,F16)-1)</f>
        <v>4</v>
      </c>
      <c r="H16" s="19">
        <f t="shared" si="1"/>
        <v>1107.0020975223158</v>
      </c>
      <c r="I16" s="18">
        <f t="shared" si="4"/>
        <v>834.99939225523588</v>
      </c>
      <c r="J16" s="17">
        <f t="shared" si="2"/>
        <v>980.23943379178797</v>
      </c>
      <c r="K16" s="16">
        <f t="shared" si="3"/>
        <v>994</v>
      </c>
      <c r="S16">
        <f t="shared" ca="1" si="5"/>
        <v>170</v>
      </c>
    </row>
    <row r="17" spans="1:19" x14ac:dyDescent="0.25">
      <c r="A17">
        <v>11</v>
      </c>
      <c r="B17" t="s">
        <v>105</v>
      </c>
      <c r="C17" t="s">
        <v>39</v>
      </c>
      <c r="D17">
        <f>VLOOKUP(C17,Lookups!$E$2:$F$47,2,FALSE)</f>
        <v>0.9</v>
      </c>
      <c r="E17" s="30">
        <v>8.519675925925925E-2</v>
      </c>
      <c r="F17" s="29">
        <f t="shared" si="0"/>
        <v>7.6677083333333326E-2</v>
      </c>
      <c r="G17">
        <f>IF(F17="","",_xlfn.RANK.EQ(F17,$F$7:$F$34,1)+COUNTIF($F$7:F17,F17)-1)</f>
        <v>10</v>
      </c>
      <c r="H17" s="19">
        <f t="shared" si="1"/>
        <v>442.62562059093557</v>
      </c>
      <c r="I17" s="18">
        <f t="shared" si="4"/>
        <v>300.71397304110246</v>
      </c>
      <c r="J17" s="17">
        <f t="shared" si="2"/>
        <v>0</v>
      </c>
      <c r="K17" s="16">
        <f t="shared" si="3"/>
        <v>983</v>
      </c>
      <c r="S17">
        <f t="shared" ca="1" si="5"/>
        <v>66</v>
      </c>
    </row>
    <row r="18" spans="1:19" x14ac:dyDescent="0.25">
      <c r="A18">
        <v>12</v>
      </c>
      <c r="B18" t="s">
        <v>32</v>
      </c>
      <c r="C18" t="s">
        <v>27</v>
      </c>
      <c r="D18">
        <f>VLOOKUP(C18,Lookups!$E$2:$F$47,2,FALSE)</f>
        <v>0.86</v>
      </c>
      <c r="E18" s="30"/>
      <c r="F18" s="29" t="str">
        <f t="shared" si="0"/>
        <v/>
      </c>
      <c r="G18" t="str">
        <f>IF(F18="","",_xlfn.RANK.EQ(F18,$F$7:$F$34,1)+COUNTIF($F$7:F18,F18)-1)</f>
        <v/>
      </c>
      <c r="H18" s="19" t="str">
        <f t="shared" si="1"/>
        <v/>
      </c>
      <c r="I18" s="18" t="str">
        <f t="shared" si="4"/>
        <v/>
      </c>
      <c r="J18" s="17" t="str">
        <f t="shared" si="2"/>
        <v/>
      </c>
      <c r="K18" s="16" t="str">
        <f t="shared" si="3"/>
        <v>~</v>
      </c>
    </row>
    <row r="19" spans="1:19" x14ac:dyDescent="0.25">
      <c r="B19" t="s">
        <v>102</v>
      </c>
      <c r="C19" t="s">
        <v>103</v>
      </c>
      <c r="E19" s="30"/>
      <c r="F19" s="29" t="str">
        <f t="shared" ref="F19" si="6">IF(E19="","",E19*D19)</f>
        <v/>
      </c>
      <c r="G19" t="str">
        <f>IF(F19="","",_xlfn.RANK.EQ(F19,$F$7:$F$34,1)+COUNTIF($F$7:F19,F19)-1)</f>
        <v/>
      </c>
      <c r="H19" s="19" t="str">
        <f t="shared" ref="H19" si="7">IFERROR((1000+200*(AVERAGE($F$7:$F$34)-F19)/_xlfn.STDEV.P($F$7:$F$34)),"")</f>
        <v/>
      </c>
      <c r="I19" s="18" t="str">
        <f t="shared" ref="I19" si="8">IFERROR(((1000*SMALL($F$7:$F$34,1)/F19)),"")</f>
        <v/>
      </c>
      <c r="J19" s="17" t="str">
        <f t="shared" ref="J19" si="9">IF(E19="","",IF(F19&gt;=2*SMALL($F$7:$F$34,1),0,1000-((F19-SMALL($F$7:$F$34,1))/SMALL($F$7:$F$34,1)*100)))</f>
        <v/>
      </c>
      <c r="K19" s="16" t="str">
        <f t="shared" ref="K19" si="10">IFERROR((1000-MINUTE(F19-SMALL($F$7:$F$34,1))),"~")</f>
        <v>~</v>
      </c>
    </row>
    <row r="20" spans="1:19" x14ac:dyDescent="0.25">
      <c r="A20">
        <v>13</v>
      </c>
      <c r="B20" t="s">
        <v>33</v>
      </c>
      <c r="C20" t="s">
        <v>34</v>
      </c>
      <c r="D20">
        <f>VLOOKUP(C20,Lookups!$E$2:$F$47,2,FALSE)</f>
        <v>0.8</v>
      </c>
      <c r="E20" s="30"/>
      <c r="F20" s="29" t="str">
        <f t="shared" si="0"/>
        <v/>
      </c>
      <c r="G20" t="str">
        <f>IF(F20="","",_xlfn.RANK.EQ(F20,$F$7:$F$34,1)+COUNTIF($F$7:F20,F20)-1)</f>
        <v/>
      </c>
      <c r="H20" s="19" t="str">
        <f t="shared" si="1"/>
        <v/>
      </c>
      <c r="I20" s="18" t="str">
        <f t="shared" si="4"/>
        <v/>
      </c>
      <c r="J20" s="17" t="str">
        <f t="shared" si="2"/>
        <v/>
      </c>
      <c r="K20" s="16" t="str">
        <f t="shared" si="3"/>
        <v>~</v>
      </c>
    </row>
    <row r="21" spans="1:19" x14ac:dyDescent="0.25">
      <c r="A21">
        <v>14</v>
      </c>
      <c r="B21" t="s">
        <v>35</v>
      </c>
      <c r="C21" t="s">
        <v>59</v>
      </c>
      <c r="D21">
        <f>VLOOKUP(C21,Lookups!$E$2:$F$47,2,FALSE)</f>
        <v>0.77</v>
      </c>
      <c r="E21" s="30">
        <v>5.3993055555555558E-2</v>
      </c>
      <c r="F21" s="29">
        <f t="shared" si="0"/>
        <v>4.1574652777777783E-2</v>
      </c>
      <c r="G21">
        <f>IF(F21="","",_xlfn.RANK.EQ(F21,$F$7:$F$34,1)+COUNTIF($F$7:F21,F21)-1)</f>
        <v>9</v>
      </c>
      <c r="H21" s="19">
        <f t="shared" si="1"/>
        <v>917.95941111880074</v>
      </c>
      <c r="I21" s="18">
        <f t="shared" si="4"/>
        <v>554.61366072298529</v>
      </c>
      <c r="J21" s="17">
        <f t="shared" si="2"/>
        <v>919.6943078004216</v>
      </c>
      <c r="K21" s="16">
        <f t="shared" si="3"/>
        <v>974</v>
      </c>
    </row>
    <row r="22" spans="1:19" x14ac:dyDescent="0.25">
      <c r="A22">
        <v>15</v>
      </c>
      <c r="B22" t="s">
        <v>37</v>
      </c>
      <c r="C22" t="s">
        <v>27</v>
      </c>
      <c r="D22">
        <f>VLOOKUP(C22,Lookups!$E$2:$F$47,2,FALSE)</f>
        <v>0.86</v>
      </c>
      <c r="E22" s="30"/>
      <c r="F22" s="29" t="str">
        <f t="shared" si="0"/>
        <v/>
      </c>
      <c r="G22" t="str">
        <f>IF(F22="","",_xlfn.RANK.EQ(F22,$F$7:$F$34,1)+COUNTIF($F$7:F22,F22)-1)</f>
        <v/>
      </c>
      <c r="H22" s="19" t="str">
        <f t="shared" si="1"/>
        <v/>
      </c>
      <c r="I22" s="18" t="str">
        <f t="shared" si="4"/>
        <v/>
      </c>
      <c r="J22" s="17" t="str">
        <f t="shared" si="2"/>
        <v/>
      </c>
      <c r="K22" s="16" t="str">
        <f t="shared" si="3"/>
        <v>~</v>
      </c>
    </row>
    <row r="23" spans="1:19" x14ac:dyDescent="0.25">
      <c r="A23">
        <v>16</v>
      </c>
      <c r="B23" t="s">
        <v>38</v>
      </c>
      <c r="C23" t="s">
        <v>39</v>
      </c>
      <c r="D23">
        <f>VLOOKUP(C23,Lookups!$E$2:$F$47,2,FALSE)</f>
        <v>0.9</v>
      </c>
      <c r="E23" s="30"/>
      <c r="F23" s="29" t="str">
        <f t="shared" si="0"/>
        <v/>
      </c>
      <c r="G23" t="str">
        <f>IF(F23="","",_xlfn.RANK.EQ(F23,$F$7:$F$34,1)+COUNTIF($F$7:F23,F23)-1)</f>
        <v/>
      </c>
      <c r="H23" s="19" t="str">
        <f t="shared" si="1"/>
        <v/>
      </c>
      <c r="I23" s="18" t="str">
        <f t="shared" si="4"/>
        <v/>
      </c>
      <c r="J23" s="17" t="str">
        <f t="shared" si="2"/>
        <v/>
      </c>
      <c r="K23" s="16" t="str">
        <f t="shared" si="3"/>
        <v>~</v>
      </c>
    </row>
    <row r="24" spans="1:19" x14ac:dyDescent="0.25">
      <c r="A24">
        <v>17</v>
      </c>
      <c r="B24" t="s">
        <v>1</v>
      </c>
      <c r="C24" t="s">
        <v>36</v>
      </c>
      <c r="D24">
        <f>VLOOKUP(C24,Lookups!$E$2:$F$47,2,FALSE)</f>
        <v>0.56999999999999995</v>
      </c>
      <c r="E24" s="30"/>
      <c r="F24" s="29" t="str">
        <f t="shared" si="0"/>
        <v/>
      </c>
      <c r="G24" t="str">
        <f>IF(F24="","",_xlfn.RANK.EQ(F24,$F$7:$F$34,1)+COUNTIF($F$7:F24,F24)-1)</f>
        <v/>
      </c>
      <c r="H24" s="19" t="str">
        <f t="shared" si="1"/>
        <v/>
      </c>
      <c r="I24" s="18" t="str">
        <f t="shared" si="4"/>
        <v/>
      </c>
      <c r="J24" s="17" t="str">
        <f t="shared" si="2"/>
        <v/>
      </c>
      <c r="K24" s="16" t="str">
        <f t="shared" si="3"/>
        <v>~</v>
      </c>
    </row>
    <row r="25" spans="1:19" x14ac:dyDescent="0.25">
      <c r="A25">
        <v>18</v>
      </c>
      <c r="B25" t="s">
        <v>40</v>
      </c>
      <c r="C25" t="s">
        <v>17</v>
      </c>
      <c r="D25">
        <f>VLOOKUP(C25,Lookups!$E$2:$F$47,2,FALSE)</f>
        <v>0.7</v>
      </c>
      <c r="E25" s="30">
        <v>3.2939814814814811E-2</v>
      </c>
      <c r="F25" s="29">
        <f t="shared" si="0"/>
        <v>2.3057870370370367E-2</v>
      </c>
      <c r="G25">
        <f>IF(F25="","",_xlfn.RANK.EQ(F25,$F$7:$F$34,1)+COUNTIF($F$7:F25,F25)-1)</f>
        <v>1</v>
      </c>
      <c r="H25" s="19">
        <f t="shared" si="1"/>
        <v>1168.7013748743461</v>
      </c>
      <c r="I25" s="18">
        <f t="shared" si="4"/>
        <v>1000</v>
      </c>
      <c r="J25" s="17">
        <f t="shared" si="2"/>
        <v>1000</v>
      </c>
      <c r="K25" s="16">
        <f t="shared" si="3"/>
        <v>1000</v>
      </c>
    </row>
    <row r="26" spans="1:19" x14ac:dyDescent="0.25">
      <c r="A26">
        <v>19</v>
      </c>
      <c r="B26" t="s">
        <v>41</v>
      </c>
      <c r="C26" t="s">
        <v>17</v>
      </c>
      <c r="D26">
        <f>VLOOKUP(C26,Lookups!$E$2:$F$47,2,FALSE)</f>
        <v>0.7</v>
      </c>
      <c r="E26" s="30"/>
      <c r="F26" s="29" t="str">
        <f t="shared" si="0"/>
        <v/>
      </c>
      <c r="G26" t="str">
        <f>IF(F26="","",_xlfn.RANK.EQ(F26,$F$7:$F$34,1)+COUNTIF($F$7:F26,F26)-1)</f>
        <v/>
      </c>
      <c r="H26" s="19" t="str">
        <f t="shared" si="1"/>
        <v/>
      </c>
      <c r="I26" s="18" t="str">
        <f t="shared" si="4"/>
        <v/>
      </c>
      <c r="J26" s="17" t="str">
        <f t="shared" si="2"/>
        <v/>
      </c>
      <c r="K26" s="16" t="str">
        <f t="shared" si="3"/>
        <v>~</v>
      </c>
    </row>
    <row r="27" spans="1:19" x14ac:dyDescent="0.25">
      <c r="A27">
        <v>20</v>
      </c>
      <c r="B27" t="s">
        <v>44</v>
      </c>
      <c r="C27" t="s">
        <v>45</v>
      </c>
      <c r="D27">
        <f>VLOOKUP(C27,Lookups!$E$2:$F$47,2,FALSE)</f>
        <v>0.67</v>
      </c>
      <c r="E27" s="30"/>
      <c r="F27" s="29" t="str">
        <f t="shared" si="0"/>
        <v/>
      </c>
      <c r="G27" t="str">
        <f>IF(F27="","",_xlfn.RANK.EQ(F27,$F$7:$F$34,1)+COUNTIF($F$7:F27,F27)-1)</f>
        <v/>
      </c>
      <c r="H27" s="19" t="str">
        <f t="shared" si="1"/>
        <v/>
      </c>
      <c r="I27" s="18" t="str">
        <f t="shared" si="4"/>
        <v/>
      </c>
      <c r="J27" s="17" t="str">
        <f t="shared" si="2"/>
        <v/>
      </c>
      <c r="K27" s="16" t="str">
        <f t="shared" si="3"/>
        <v>~</v>
      </c>
    </row>
    <row r="28" spans="1:19"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4"/>
        <v/>
      </c>
      <c r="J28" s="17" t="str">
        <f t="shared" si="2"/>
        <v/>
      </c>
      <c r="K28" s="16" t="str">
        <f t="shared" si="3"/>
        <v>~</v>
      </c>
    </row>
    <row r="29" spans="1:19" x14ac:dyDescent="0.25">
      <c r="A29">
        <v>22</v>
      </c>
      <c r="B29" t="s">
        <v>106</v>
      </c>
      <c r="C29" t="s">
        <v>45</v>
      </c>
      <c r="D29">
        <f>VLOOKUP(C29,Lookups!$E$2:$F$47,2,FALSE)</f>
        <v>0.67</v>
      </c>
      <c r="E29" s="30"/>
      <c r="F29" s="29" t="str">
        <f t="shared" si="0"/>
        <v/>
      </c>
      <c r="G29" t="str">
        <f>IF(F29="","",_xlfn.RANK.EQ(F29,$F$7:$F$34,1)+COUNTIF($F$7:F29,F29)-1)</f>
        <v/>
      </c>
      <c r="H29" s="19" t="str">
        <f t="shared" si="1"/>
        <v/>
      </c>
      <c r="I29" s="18" t="str">
        <f t="shared" si="4"/>
        <v/>
      </c>
      <c r="J29" s="17" t="str">
        <f t="shared" si="2"/>
        <v/>
      </c>
      <c r="K29" s="16" t="str">
        <f t="shared" si="3"/>
        <v>~</v>
      </c>
    </row>
    <row r="30" spans="1:19" x14ac:dyDescent="0.25">
      <c r="A30">
        <v>23</v>
      </c>
      <c r="B30" t="s">
        <v>46</v>
      </c>
      <c r="C30" t="s">
        <v>47</v>
      </c>
      <c r="D30">
        <f>VLOOKUP(C30,Lookups!$E$2:$F$47,2,FALSE)</f>
        <v>0.8</v>
      </c>
      <c r="E30" s="30"/>
      <c r="F30" s="29" t="str">
        <f t="shared" si="0"/>
        <v/>
      </c>
      <c r="G30" t="str">
        <f>IF(F30="","",_xlfn.RANK.EQ(F30,$F$7:$F$34,1)+COUNTIF($F$7:F30,F30)-1)</f>
        <v/>
      </c>
      <c r="H30" s="19" t="str">
        <f t="shared" si="1"/>
        <v/>
      </c>
      <c r="I30" s="18" t="str">
        <f t="shared" si="4"/>
        <v/>
      </c>
      <c r="J30" s="17" t="str">
        <f t="shared" si="2"/>
        <v/>
      </c>
      <c r="K30" s="16" t="str">
        <f t="shared" si="3"/>
        <v>~</v>
      </c>
    </row>
    <row r="31" spans="1:19" x14ac:dyDescent="0.25">
      <c r="A31">
        <v>24</v>
      </c>
      <c r="B31" t="s">
        <v>48</v>
      </c>
      <c r="C31" t="s">
        <v>49</v>
      </c>
      <c r="D31">
        <f>VLOOKUP(C31,Lookups!$E$2:$F$47,2,FALSE)</f>
        <v>0.7</v>
      </c>
      <c r="E31" s="30"/>
      <c r="F31" s="29" t="str">
        <f t="shared" si="0"/>
        <v/>
      </c>
      <c r="G31" t="str">
        <f>IF(F31="","",_xlfn.RANK.EQ(F31,$F$7:$F$34,1)+COUNTIF($F$7:F31,F31)-1)</f>
        <v/>
      </c>
      <c r="H31" s="19" t="str">
        <f t="shared" si="1"/>
        <v/>
      </c>
      <c r="I31" s="18" t="str">
        <f t="shared" si="4"/>
        <v/>
      </c>
      <c r="J31" s="17" t="str">
        <f t="shared" si="2"/>
        <v/>
      </c>
      <c r="K31" s="16" t="str">
        <f t="shared" si="3"/>
        <v>~</v>
      </c>
    </row>
    <row r="32" spans="1:19"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4"/>
        <v/>
      </c>
      <c r="J32" s="17" t="str">
        <f t="shared" si="2"/>
        <v/>
      </c>
      <c r="K32" s="16" t="str">
        <f t="shared" si="3"/>
        <v>~</v>
      </c>
    </row>
    <row r="33" spans="1:11" x14ac:dyDescent="0.25">
      <c r="A33">
        <v>26</v>
      </c>
      <c r="B33" t="s">
        <v>57</v>
      </c>
      <c r="C33" t="s">
        <v>49</v>
      </c>
      <c r="D33">
        <f>VLOOKUP(C33,Lookups!$E$2:$F$47,2,FALSE)</f>
        <v>0.7</v>
      </c>
      <c r="E33" s="30"/>
      <c r="F33" s="29" t="str">
        <f t="shared" si="0"/>
        <v/>
      </c>
      <c r="G33" t="str">
        <f>IF(F33="","",_xlfn.RANK.EQ(F33,$F$7:$F$34,1)+COUNTIF($F$7:F33,F33)-1)</f>
        <v/>
      </c>
      <c r="H33" s="19" t="str">
        <f t="shared" si="1"/>
        <v/>
      </c>
      <c r="I33" s="18" t="str">
        <f t="shared" si="4"/>
        <v/>
      </c>
      <c r="J33" s="17" t="str">
        <f t="shared" si="2"/>
        <v/>
      </c>
      <c r="K33" s="16" t="str">
        <f t="shared" si="3"/>
        <v>~</v>
      </c>
    </row>
    <row r="34" spans="1:11" x14ac:dyDescent="0.25">
      <c r="A34">
        <v>27</v>
      </c>
      <c r="B34" t="s">
        <v>55</v>
      </c>
      <c r="C34" t="s">
        <v>45</v>
      </c>
      <c r="D34">
        <f>VLOOKUP(C34,Lookups!$E$2:$F$47,2,FALSE)</f>
        <v>0.67</v>
      </c>
      <c r="E34" s="30"/>
      <c r="F34" s="29" t="str">
        <f t="shared" si="0"/>
        <v/>
      </c>
      <c r="G34" t="str">
        <f>IF(F34="","",_xlfn.RANK.EQ(F34,$F$7:$F$34,1)+COUNTIF($F$7:F34,F34)-1)</f>
        <v/>
      </c>
      <c r="H34" s="19" t="str">
        <f t="shared" si="1"/>
        <v/>
      </c>
      <c r="I34" s="18" t="str">
        <f t="shared" si="4"/>
        <v/>
      </c>
      <c r="J34" s="17" t="str">
        <f t="shared" si="2"/>
        <v/>
      </c>
      <c r="K34" s="16" t="str">
        <f t="shared" si="3"/>
        <v>~</v>
      </c>
    </row>
    <row r="35" spans="1:11" x14ac:dyDescent="0.25">
      <c r="E35" s="26"/>
    </row>
    <row r="36" spans="1:11" x14ac:dyDescent="0.25">
      <c r="A36" t="s">
        <v>53</v>
      </c>
      <c r="E36" s="26"/>
    </row>
    <row r="37" spans="1:11" ht="30" x14ac:dyDescent="0.25">
      <c r="A37" t="s">
        <v>8</v>
      </c>
      <c r="B37" t="s">
        <v>9</v>
      </c>
      <c r="C37" t="s">
        <v>10</v>
      </c>
      <c r="D37" t="s">
        <v>54</v>
      </c>
      <c r="E37" s="27" t="s">
        <v>95</v>
      </c>
      <c r="F37" s="24" t="s">
        <v>94</v>
      </c>
      <c r="G37" s="24" t="s">
        <v>8</v>
      </c>
      <c r="H37" s="23" t="s">
        <v>93</v>
      </c>
      <c r="I37" s="22" t="s">
        <v>92</v>
      </c>
      <c r="J37" s="21" t="s">
        <v>91</v>
      </c>
      <c r="K37" s="20" t="s">
        <v>90</v>
      </c>
    </row>
    <row r="38" spans="1:11" x14ac:dyDescent="0.25">
      <c r="A38">
        <v>1</v>
      </c>
      <c r="B38" t="s">
        <v>55</v>
      </c>
      <c r="C38" t="s">
        <v>109</v>
      </c>
      <c r="D38">
        <f>VLOOKUP(C38,Lookups!$E$2:$F$47,2,FALSE)</f>
        <v>0.7</v>
      </c>
      <c r="E38" s="30"/>
      <c r="F38" s="29" t="str">
        <f>IF(E38="","",E38*D38)</f>
        <v/>
      </c>
      <c r="G38" t="str">
        <f>IF(F38="","",_xlfn.RANK.EQ(F38,$F$38:$F$62,1)+COUNTIF($F$38:F62,F38)-1)</f>
        <v/>
      </c>
      <c r="H38" s="19" t="str">
        <f t="shared" ref="H38:H62" si="11">IFERROR((1000+200*(AVERAGE($F$38:$F$62)-F38)/_xlfn.STDEV.P($F$38:$F$62)),"")</f>
        <v/>
      </c>
      <c r="I38" s="18" t="str">
        <f t="shared" ref="I38:I62" si="12">IFERROR(((1000*SMALL($F$38:$F$62,1)/F38)),"")</f>
        <v/>
      </c>
      <c r="J38" s="17" t="str">
        <f t="shared" ref="J38:J62" si="13">IF(E38="","",IF(F38&gt;=2*SMALL($F$38:$F$62,1),0,1000-((F38-SMALL($F$7:$F$62,1))/SMALL($F$38:$F$62,1)*100)))</f>
        <v/>
      </c>
      <c r="K38" s="16" t="str">
        <f>IFERROR((1000-MINUTE(F38-SMALL($F$38:$F$62,1))),"~")</f>
        <v>~</v>
      </c>
    </row>
    <row r="39" spans="1:11" x14ac:dyDescent="0.25">
      <c r="A39">
        <v>2</v>
      </c>
      <c r="B39" t="s">
        <v>57</v>
      </c>
      <c r="C39" t="s">
        <v>49</v>
      </c>
      <c r="D39">
        <f>VLOOKUP(C39,Lookups!$E$2:$F$47,2,FALSE)</f>
        <v>0.7</v>
      </c>
      <c r="E39" s="30">
        <v>2.8252314814814813E-2</v>
      </c>
      <c r="F39" s="29">
        <f>IF(E39="","",E39*D39)</f>
        <v>1.9776620370370368E-2</v>
      </c>
      <c r="G39">
        <f>IF(F39="","",_xlfn.RANK.EQ(F39,$F$38:$F$62,1)+COUNTIF($F$38:F63,F39)-1)</f>
        <v>2</v>
      </c>
      <c r="H39" s="19">
        <f t="shared" si="11"/>
        <v>1121.7846833080457</v>
      </c>
      <c r="I39" s="18">
        <f t="shared" si="12"/>
        <v>809.41066307719325</v>
      </c>
      <c r="J39" s="17">
        <f t="shared" si="13"/>
        <v>976.45332022211937</v>
      </c>
      <c r="K39" s="16">
        <f t="shared" ref="K39:K62" si="14">IFERROR((1000-MINUTE(F39-SMALL($F$38:$F$62,1))),"~")</f>
        <v>995</v>
      </c>
    </row>
    <row r="40" spans="1:11" x14ac:dyDescent="0.25">
      <c r="A40">
        <v>3</v>
      </c>
      <c r="B40" t="s">
        <v>111</v>
      </c>
      <c r="C40" t="s">
        <v>39</v>
      </c>
      <c r="D40">
        <f>VLOOKUP(C40,Lookups!$E$2:$F$47,2,FALSE)</f>
        <v>0.9</v>
      </c>
      <c r="E40" s="30"/>
      <c r="F40" s="29" t="str">
        <f t="shared" ref="F40:F62" si="15">IF(E40="","",E40*D40)</f>
        <v/>
      </c>
      <c r="G40" t="str">
        <f>IF(F40="","",_xlfn.RANK.EQ(F40,$F$38:$F$62,1)+COUNTIF($F$38:F64,F40)-1)</f>
        <v/>
      </c>
      <c r="H40" s="19" t="str">
        <f t="shared" si="11"/>
        <v/>
      </c>
      <c r="I40" s="18" t="str">
        <f t="shared" si="12"/>
        <v/>
      </c>
      <c r="J40" s="17" t="str">
        <f t="shared" si="13"/>
        <v/>
      </c>
      <c r="K40" s="16" t="str">
        <f t="shared" si="14"/>
        <v>~</v>
      </c>
    </row>
    <row r="41" spans="1:11" x14ac:dyDescent="0.25">
      <c r="A41">
        <v>4</v>
      </c>
      <c r="B41" t="s">
        <v>118</v>
      </c>
      <c r="C41" t="s">
        <v>47</v>
      </c>
      <c r="D41">
        <f>VLOOKUP(C41,Lookups!$E$2:$F$47,2,FALSE)</f>
        <v>0.8</v>
      </c>
      <c r="E41" s="30"/>
      <c r="F41" s="29" t="str">
        <f t="shared" si="15"/>
        <v/>
      </c>
      <c r="G41" t="str">
        <f>IF(F41="","",_xlfn.RANK.EQ(F41,$F$38:$F$62,1)+COUNTIF($F$38:F65,F41)-1)</f>
        <v/>
      </c>
      <c r="H41" s="19" t="str">
        <f t="shared" si="11"/>
        <v/>
      </c>
      <c r="I41" s="18" t="str">
        <f t="shared" si="12"/>
        <v/>
      </c>
      <c r="J41" s="17" t="str">
        <f t="shared" si="13"/>
        <v/>
      </c>
      <c r="K41" s="16" t="str">
        <f t="shared" si="14"/>
        <v>~</v>
      </c>
    </row>
    <row r="42" spans="1:11" x14ac:dyDescent="0.25">
      <c r="A42">
        <v>5</v>
      </c>
      <c r="B42" t="s">
        <v>116</v>
      </c>
      <c r="C42" t="s">
        <v>117</v>
      </c>
      <c r="D42">
        <f>VLOOKUP(C42,Lookups!$E$2:$F$47,2,FALSE)</f>
        <v>0.89</v>
      </c>
      <c r="E42" s="30"/>
      <c r="F42" s="29" t="str">
        <f t="shared" si="15"/>
        <v/>
      </c>
      <c r="G42" t="str">
        <f>IF(F42="","",_xlfn.RANK.EQ(F42,$F$38:$F$62,1)+COUNTIF($F$38:F66,F42)-1)</f>
        <v/>
      </c>
      <c r="H42" s="19" t="str">
        <f t="shared" si="11"/>
        <v/>
      </c>
      <c r="I42" s="18" t="str">
        <f t="shared" si="12"/>
        <v/>
      </c>
      <c r="J42" s="17" t="str">
        <f t="shared" si="13"/>
        <v/>
      </c>
      <c r="K42" s="16" t="str">
        <f t="shared" si="14"/>
        <v>~</v>
      </c>
    </row>
    <row r="43" spans="1:11" x14ac:dyDescent="0.25">
      <c r="A43">
        <v>6</v>
      </c>
      <c r="B43" t="s">
        <v>44</v>
      </c>
      <c r="C43" t="s">
        <v>45</v>
      </c>
      <c r="D43">
        <f>VLOOKUP(C43,Lookups!$E$2:$F$47,2,FALSE)</f>
        <v>0.67</v>
      </c>
      <c r="E43" s="30"/>
      <c r="F43" s="29" t="str">
        <f t="shared" si="15"/>
        <v/>
      </c>
      <c r="G43" t="str">
        <f>IF(F43="","",_xlfn.RANK.EQ(F43,$F$38:$F$62,1)+COUNTIF($F$38:F67,F43)-1)</f>
        <v/>
      </c>
      <c r="H43" s="19" t="str">
        <f t="shared" si="11"/>
        <v/>
      </c>
      <c r="I43" s="18" t="str">
        <f t="shared" si="12"/>
        <v/>
      </c>
      <c r="J43" s="17" t="str">
        <f t="shared" si="13"/>
        <v/>
      </c>
      <c r="K43" s="16" t="str">
        <f t="shared" si="14"/>
        <v>~</v>
      </c>
    </row>
    <row r="44" spans="1:11" x14ac:dyDescent="0.25">
      <c r="A44">
        <v>7</v>
      </c>
      <c r="B44" t="s">
        <v>115</v>
      </c>
      <c r="C44" t="s">
        <v>47</v>
      </c>
      <c r="D44">
        <f>VLOOKUP(C44,Lookups!$E$2:$F$47,2,FALSE)</f>
        <v>0.8</v>
      </c>
      <c r="E44" s="30"/>
      <c r="F44" s="29" t="str">
        <f t="shared" si="15"/>
        <v/>
      </c>
      <c r="G44" t="str">
        <f>IF(F44="","",_xlfn.RANK.EQ(F44,$F$38:$F$62,1)+COUNTIF($F$38:F68,F44)-1)</f>
        <v/>
      </c>
      <c r="H44" s="19" t="str">
        <f t="shared" si="11"/>
        <v/>
      </c>
      <c r="I44" s="18" t="str">
        <f t="shared" si="12"/>
        <v/>
      </c>
      <c r="J44" s="17" t="str">
        <f t="shared" si="13"/>
        <v/>
      </c>
      <c r="K44" s="16" t="str">
        <f t="shared" si="14"/>
        <v>~</v>
      </c>
    </row>
    <row r="45" spans="1:11" x14ac:dyDescent="0.25">
      <c r="A45">
        <v>8</v>
      </c>
      <c r="B45" t="s">
        <v>58</v>
      </c>
      <c r="C45" t="s">
        <v>59</v>
      </c>
      <c r="D45">
        <f>VLOOKUP(C45,Lookups!$E$2:$F$47,2,FALSE)</f>
        <v>0.77</v>
      </c>
      <c r="E45" s="30"/>
      <c r="F45" s="29" t="str">
        <f t="shared" si="15"/>
        <v/>
      </c>
      <c r="G45" t="str">
        <f>IF(F45="","",_xlfn.RANK.EQ(F45,$F$38:$F$62,1)+COUNTIF($F$38:F76,F45)-1)</f>
        <v/>
      </c>
      <c r="H45" s="19" t="str">
        <f t="shared" si="11"/>
        <v/>
      </c>
      <c r="I45" s="18" t="str">
        <f t="shared" si="12"/>
        <v/>
      </c>
      <c r="J45" s="17" t="str">
        <f t="shared" si="13"/>
        <v/>
      </c>
      <c r="K45" s="16" t="str">
        <f t="shared" si="14"/>
        <v>~</v>
      </c>
    </row>
    <row r="46" spans="1:11" x14ac:dyDescent="0.25">
      <c r="A46">
        <v>9</v>
      </c>
      <c r="B46" t="s">
        <v>124</v>
      </c>
      <c r="C46" t="s">
        <v>34</v>
      </c>
      <c r="D46">
        <f>VLOOKUP(C46,Lookups!$E$2:$F$47,2,FALSE)</f>
        <v>0.8</v>
      </c>
      <c r="E46" s="30"/>
      <c r="F46" s="29" t="str">
        <f t="shared" si="15"/>
        <v/>
      </c>
      <c r="G46" t="str">
        <f>IF(F46="","",_xlfn.RANK.EQ(F46,$F$38:$F$62,1)+COUNTIF($F$38:F77,F46)-1)</f>
        <v/>
      </c>
      <c r="H46" s="19" t="str">
        <f t="shared" si="11"/>
        <v/>
      </c>
      <c r="I46" s="18" t="str">
        <f t="shared" si="12"/>
        <v/>
      </c>
      <c r="J46" s="17" t="str">
        <f t="shared" si="13"/>
        <v/>
      </c>
      <c r="K46" s="16" t="str">
        <f t="shared" si="14"/>
        <v>~</v>
      </c>
    </row>
    <row r="47" spans="1:11" x14ac:dyDescent="0.25">
      <c r="A47">
        <v>10</v>
      </c>
      <c r="B47" t="s">
        <v>65</v>
      </c>
      <c r="C47" t="s">
        <v>108</v>
      </c>
      <c r="D47">
        <f>VLOOKUP(C47,Lookups!$E$2:$F$47,2,FALSE)</f>
        <v>0.65</v>
      </c>
      <c r="E47" s="30"/>
      <c r="F47" s="29" t="str">
        <f t="shared" si="15"/>
        <v/>
      </c>
      <c r="G47" t="str">
        <f>IF(F47="","",_xlfn.RANK.EQ(F47,$F$38:$F$62,1)+COUNTIF($F$38:F78,F47)-1)</f>
        <v/>
      </c>
      <c r="H47" s="19" t="str">
        <f t="shared" si="11"/>
        <v/>
      </c>
      <c r="I47" s="18" t="str">
        <f t="shared" si="12"/>
        <v/>
      </c>
      <c r="J47" s="17" t="str">
        <f t="shared" si="13"/>
        <v/>
      </c>
      <c r="K47" s="16" t="str">
        <f t="shared" si="14"/>
        <v>~</v>
      </c>
    </row>
    <row r="48" spans="1:11" x14ac:dyDescent="0.25">
      <c r="B48" t="s">
        <v>157</v>
      </c>
      <c r="C48" t="s">
        <v>156</v>
      </c>
      <c r="E48" s="30"/>
      <c r="F48" s="29" t="str">
        <f t="shared" ref="F48:F49" si="16">IF(E48="","",E48*D48)</f>
        <v/>
      </c>
      <c r="G48" t="str">
        <f>IF(F48="","",_xlfn.RANK.EQ(F48,$F$38:$F$62,1)+COUNTIF($F$38:F79,F48)-1)</f>
        <v/>
      </c>
      <c r="H48" s="19" t="str">
        <f t="shared" ref="H48:H49" si="17">IFERROR((1000+200*(AVERAGE($F$38:$F$62)-F48)/_xlfn.STDEV.P($F$38:$F$62)),"")</f>
        <v/>
      </c>
      <c r="I48" s="18" t="str">
        <f t="shared" ref="I48:I49" si="18">IFERROR(((1000*SMALL($F$38:$F$62,1)/F48)),"")</f>
        <v/>
      </c>
      <c r="J48" s="17" t="str">
        <f t="shared" ref="J48:J49" si="19">IF(E48="","",IF(F48&gt;=2*SMALL($F$38:$F$62,1),0,1000-((F48-SMALL($F$7:$F$62,1))/SMALL($F$38:$F$62,1)*100)))</f>
        <v/>
      </c>
      <c r="K48" s="16" t="str">
        <f t="shared" ref="K48:K49" si="20">IFERROR((1000-MINUTE(F48-SMALL($F$38:$F$62,1))),"~")</f>
        <v>~</v>
      </c>
    </row>
    <row r="49" spans="1:11" x14ac:dyDescent="0.25">
      <c r="B49" t="s">
        <v>104</v>
      </c>
      <c r="C49" t="s">
        <v>47</v>
      </c>
      <c r="E49" s="30"/>
      <c r="F49" s="29" t="str">
        <f t="shared" si="16"/>
        <v/>
      </c>
      <c r="G49" t="str">
        <f>IF(F49="","",_xlfn.RANK.EQ(F49,$F$38:$F$62,1)+COUNTIF($F$38:F80,F49)-1)</f>
        <v/>
      </c>
      <c r="H49" s="19" t="str">
        <f t="shared" si="17"/>
        <v/>
      </c>
      <c r="I49" s="18" t="str">
        <f t="shared" si="18"/>
        <v/>
      </c>
      <c r="J49" s="17" t="str">
        <f t="shared" si="19"/>
        <v/>
      </c>
      <c r="K49" s="16" t="str">
        <f t="shared" si="20"/>
        <v>~</v>
      </c>
    </row>
    <row r="50" spans="1:11" x14ac:dyDescent="0.25">
      <c r="B50" t="s">
        <v>112</v>
      </c>
      <c r="C50" t="s">
        <v>17</v>
      </c>
      <c r="D50">
        <f>VLOOKUP(C50,Lookups!$E$2:$F$47,2,FALSE)</f>
        <v>0.7</v>
      </c>
      <c r="E50" s="30"/>
      <c r="F50" s="29" t="str">
        <f t="shared" ref="F50:F52" si="21">IF(E50="","",E50*D50)</f>
        <v/>
      </c>
      <c r="G50" t="str">
        <f>IF(F50="","",_xlfn.RANK.EQ(F50,$F$38:$F$62,1)+COUNTIF($F$38:F79,F50)-1)</f>
        <v/>
      </c>
      <c r="H50" s="19" t="str">
        <f t="shared" ref="H50:H52" si="22">IFERROR((1000+200*(AVERAGE($F$38:$F$62)-F50)/_xlfn.STDEV.P($F$38:$F$62)),"")</f>
        <v/>
      </c>
      <c r="I50" s="18" t="str">
        <f t="shared" ref="I50:I52" si="23">IFERROR(((1000*SMALL($F$38:$F$62,1)/F50)),"")</f>
        <v/>
      </c>
      <c r="J50" s="17" t="str">
        <f t="shared" ref="J50:J52" si="24">IF(E50="","",IF(F50&gt;=2*SMALL($F$38:$F$62,1),0,1000-((F50-SMALL($F$7:$F$62,1))/SMALL($F$38:$F$62,1)*100)))</f>
        <v/>
      </c>
      <c r="K50" s="16" t="str">
        <f t="shared" ref="K50:K52" si="25">IFERROR((1000-MINUTE(F50-SMALL($F$38:$F$62,1))),"~")</f>
        <v>~</v>
      </c>
    </row>
    <row r="51" spans="1:11" x14ac:dyDescent="0.25">
      <c r="B51" t="s">
        <v>76</v>
      </c>
      <c r="C51" t="s">
        <v>19</v>
      </c>
      <c r="D51">
        <f>VLOOKUP(C51,Lookups!$E$2:$F$47,2,FALSE)</f>
        <v>0.63</v>
      </c>
      <c r="E51" s="30"/>
      <c r="F51" s="29" t="str">
        <f t="shared" si="21"/>
        <v/>
      </c>
      <c r="G51" t="str">
        <f>IF(F51="","",_xlfn.RANK.EQ(F51,$F$38:$F$62,1)+COUNTIF($F$38:F80,F51)-1)</f>
        <v/>
      </c>
      <c r="H51" s="19" t="str">
        <f t="shared" si="22"/>
        <v/>
      </c>
      <c r="I51" s="18" t="str">
        <f t="shared" si="23"/>
        <v/>
      </c>
      <c r="J51" s="17" t="str">
        <f t="shared" si="24"/>
        <v/>
      </c>
      <c r="K51" s="16" t="str">
        <f t="shared" si="25"/>
        <v>~</v>
      </c>
    </row>
    <row r="52" spans="1:11" x14ac:dyDescent="0.25">
      <c r="B52" t="s">
        <v>25</v>
      </c>
      <c r="C52" t="s">
        <v>26</v>
      </c>
      <c r="D52">
        <f>VLOOKUP(C52,Lookups!$E$2:$F$47,2,FALSE)</f>
        <v>0.67</v>
      </c>
      <c r="E52" s="30"/>
      <c r="F52" s="29" t="str">
        <f t="shared" si="21"/>
        <v/>
      </c>
      <c r="G52" t="str">
        <f>IF(F52="","",_xlfn.RANK.EQ(F52,$F$38:$F$62,1)+COUNTIF($F$38:F81,F52)-1)</f>
        <v/>
      </c>
      <c r="H52" s="19" t="str">
        <f t="shared" si="22"/>
        <v/>
      </c>
      <c r="I52" s="18" t="str">
        <f t="shared" si="23"/>
        <v/>
      </c>
      <c r="J52" s="17" t="str">
        <f t="shared" si="24"/>
        <v/>
      </c>
      <c r="K52" s="16" t="str">
        <f t="shared" si="25"/>
        <v>~</v>
      </c>
    </row>
    <row r="53" spans="1:11" x14ac:dyDescent="0.25">
      <c r="A53">
        <v>11</v>
      </c>
      <c r="B53" t="s">
        <v>106</v>
      </c>
      <c r="C53" t="s">
        <v>107</v>
      </c>
      <c r="D53">
        <f>VLOOKUP(C53,Lookups!$E$2:$F$47,2,FALSE)</f>
        <v>0.92</v>
      </c>
      <c r="E53" s="30">
        <v>2.9722222222222219E-2</v>
      </c>
      <c r="F53" s="29">
        <f t="shared" si="15"/>
        <v>2.7344444444444442E-2</v>
      </c>
      <c r="G53">
        <f>IF(F53="","",_xlfn.RANK.EQ(F53,$F$38:$F$62,1)+COUNTIF($F$38:F79,F53)-1)</f>
        <v>3</v>
      </c>
      <c r="H53" s="19">
        <f t="shared" si="11"/>
        <v>837.99946225388067</v>
      </c>
      <c r="I53" s="18">
        <f t="shared" si="12"/>
        <v>585.39888934037651</v>
      </c>
      <c r="J53" s="17">
        <f t="shared" si="13"/>
        <v>929.17630726515506</v>
      </c>
      <c r="K53" s="16">
        <f t="shared" si="14"/>
        <v>984</v>
      </c>
    </row>
    <row r="54" spans="1:11" x14ac:dyDescent="0.25">
      <c r="A54">
        <v>12</v>
      </c>
      <c r="B54" t="s">
        <v>42</v>
      </c>
      <c r="C54" t="s">
        <v>43</v>
      </c>
      <c r="D54">
        <f>VLOOKUP(C54,Lookups!$E$2:$F$47,2,FALSE)</f>
        <v>0.64</v>
      </c>
      <c r="E54" s="30">
        <v>2.5011574074074075E-2</v>
      </c>
      <c r="F54" s="29">
        <f t="shared" si="15"/>
        <v>1.6007407407407408E-2</v>
      </c>
      <c r="G54">
        <f>IF(F54="","",_xlfn.RANK.EQ(F54,$F$38:$F$62,1)+COUNTIF($F$38:F80,F54)-1)</f>
        <v>1</v>
      </c>
      <c r="H54" s="19">
        <f t="shared" si="11"/>
        <v>1263.1260944488088</v>
      </c>
      <c r="I54" s="18">
        <f t="shared" si="12"/>
        <v>999.99999999999989</v>
      </c>
      <c r="J54" s="17">
        <f t="shared" si="13"/>
        <v>1000</v>
      </c>
      <c r="K54" s="16">
        <f t="shared" si="14"/>
        <v>1000</v>
      </c>
    </row>
    <row r="55" spans="1:11" x14ac:dyDescent="0.25">
      <c r="A55">
        <v>13</v>
      </c>
      <c r="B55" t="s">
        <v>60</v>
      </c>
      <c r="C55" t="s">
        <v>34</v>
      </c>
      <c r="D55">
        <f>VLOOKUP(C55,Lookups!$E$2:$F$47,2,FALSE)</f>
        <v>0.8</v>
      </c>
      <c r="E55" s="30"/>
      <c r="F55" s="29" t="str">
        <f t="shared" si="15"/>
        <v/>
      </c>
      <c r="G55" t="str">
        <f>IF(F55="","",_xlfn.RANK.EQ(F55,$F$38:$F$62,1)+COUNTIF($F$38:F81,F55)-1)</f>
        <v/>
      </c>
      <c r="H55" s="19" t="str">
        <f t="shared" si="11"/>
        <v/>
      </c>
      <c r="I55" s="18" t="str">
        <f t="shared" si="12"/>
        <v/>
      </c>
      <c r="J55" s="17" t="str">
        <f t="shared" si="13"/>
        <v/>
      </c>
      <c r="K55" s="16" t="str">
        <f t="shared" si="14"/>
        <v>~</v>
      </c>
    </row>
    <row r="56" spans="1:11" x14ac:dyDescent="0.25">
      <c r="A56">
        <v>14</v>
      </c>
      <c r="B56" t="s">
        <v>114</v>
      </c>
      <c r="C56" t="s">
        <v>31</v>
      </c>
      <c r="D56">
        <f>VLOOKUP(C56,Lookups!$E$2:$F$47,2,FALSE)</f>
        <v>0.82</v>
      </c>
      <c r="E56" s="30"/>
      <c r="F56" s="29" t="str">
        <f t="shared" si="15"/>
        <v/>
      </c>
      <c r="G56" t="str">
        <f>IF(F56="","",_xlfn.RANK.EQ(F56,$F$38:$F$62,1)+COUNTIF($F$38:F82,F56)-1)</f>
        <v/>
      </c>
      <c r="H56" s="19" t="str">
        <f t="shared" si="11"/>
        <v/>
      </c>
      <c r="I56" s="18" t="str">
        <f t="shared" si="12"/>
        <v/>
      </c>
      <c r="J56" s="17" t="str">
        <f t="shared" si="13"/>
        <v/>
      </c>
      <c r="K56" s="16" t="str">
        <f t="shared" si="14"/>
        <v>~</v>
      </c>
    </row>
    <row r="57" spans="1:11" x14ac:dyDescent="0.25">
      <c r="A57">
        <v>15</v>
      </c>
      <c r="B57" t="s">
        <v>61</v>
      </c>
      <c r="C57" t="s">
        <v>39</v>
      </c>
      <c r="D57">
        <f>VLOOKUP(C57,Lookups!$E$2:$F$47,2,FALSE)</f>
        <v>0.9</v>
      </c>
      <c r="E57" s="30">
        <v>3.2187500000000001E-2</v>
      </c>
      <c r="F57" s="29">
        <f t="shared" si="15"/>
        <v>2.8968750000000001E-2</v>
      </c>
      <c r="G57">
        <f>IF(F57="","",_xlfn.RANK.EQ(F57,$F$38:$F$62,1)+COUNTIF($F$38:F83,F57)-1)</f>
        <v>4</v>
      </c>
      <c r="H57" s="19">
        <f t="shared" si="11"/>
        <v>777.08975998926496</v>
      </c>
      <c r="I57" s="18">
        <f t="shared" si="12"/>
        <v>552.57501298493742</v>
      </c>
      <c r="J57" s="17">
        <f t="shared" si="13"/>
        <v>919.02909532623789</v>
      </c>
      <c r="K57" s="16">
        <f t="shared" si="14"/>
        <v>982</v>
      </c>
    </row>
    <row r="58" spans="1:11" x14ac:dyDescent="0.25">
      <c r="A58">
        <v>16</v>
      </c>
      <c r="B58" t="s">
        <v>6</v>
      </c>
      <c r="C58" t="s">
        <v>19</v>
      </c>
      <c r="D58">
        <f>VLOOKUP(C58,Lookups!$E$2:$F$47,2,FALSE)</f>
        <v>0.63</v>
      </c>
      <c r="E58" s="30"/>
      <c r="F58" s="29" t="str">
        <f t="shared" si="15"/>
        <v/>
      </c>
      <c r="G58" t="str">
        <f>IF(F58="","",_xlfn.RANK.EQ(F58,$F$38:$F$62,1)+COUNTIF($F$38:F84,F58)-1)</f>
        <v/>
      </c>
      <c r="H58" s="19" t="str">
        <f t="shared" si="11"/>
        <v/>
      </c>
      <c r="I58" s="18" t="str">
        <f t="shared" si="12"/>
        <v/>
      </c>
      <c r="J58" s="17" t="str">
        <f t="shared" si="13"/>
        <v/>
      </c>
      <c r="K58" s="16" t="str">
        <f t="shared" si="14"/>
        <v>~</v>
      </c>
    </row>
    <row r="59" spans="1:11" x14ac:dyDescent="0.25">
      <c r="A59">
        <v>17</v>
      </c>
      <c r="B59" t="s">
        <v>102</v>
      </c>
      <c r="C59" t="s">
        <v>103</v>
      </c>
      <c r="D59">
        <f>VLOOKUP(C59,Lookups!$E$2:$F$47,2,FALSE)</f>
        <v>0.92</v>
      </c>
      <c r="E59" s="30"/>
      <c r="F59" s="29" t="str">
        <f t="shared" si="15"/>
        <v/>
      </c>
      <c r="G59" t="str">
        <f>IF(F59="","",_xlfn.RANK.EQ(F59,$F$38:$F$62,1)+COUNTIF($F$38:F85,F59)-1)</f>
        <v/>
      </c>
      <c r="H59" s="19" t="str">
        <f t="shared" si="11"/>
        <v/>
      </c>
      <c r="I59" s="18" t="str">
        <f t="shared" si="12"/>
        <v/>
      </c>
      <c r="J59" s="17" t="str">
        <f t="shared" si="13"/>
        <v/>
      </c>
      <c r="K59" s="16" t="str">
        <f t="shared" si="14"/>
        <v>~</v>
      </c>
    </row>
    <row r="60" spans="1:11" x14ac:dyDescent="0.25">
      <c r="A60">
        <v>18</v>
      </c>
      <c r="B60" t="s">
        <v>106</v>
      </c>
      <c r="C60" t="s">
        <v>107</v>
      </c>
      <c r="D60">
        <f>VLOOKUP(C60,Lookups!$E$2:$F$47,2,FALSE)</f>
        <v>0.92</v>
      </c>
      <c r="E60" s="30"/>
      <c r="F60" s="29" t="str">
        <f t="shared" si="15"/>
        <v/>
      </c>
      <c r="G60" t="str">
        <f>IF(F60="","",_xlfn.RANK.EQ(F60,$F$38:$F$62,1)+COUNTIF($F$38:F86,F60)-1)</f>
        <v/>
      </c>
      <c r="H60" s="19" t="str">
        <f t="shared" si="11"/>
        <v/>
      </c>
      <c r="I60" s="18" t="str">
        <f t="shared" si="12"/>
        <v/>
      </c>
      <c r="J60" s="17" t="str">
        <f t="shared" si="13"/>
        <v/>
      </c>
      <c r="K60" s="16" t="str">
        <f t="shared" si="14"/>
        <v>~</v>
      </c>
    </row>
    <row r="61" spans="1:11" x14ac:dyDescent="0.25">
      <c r="A61">
        <v>19</v>
      </c>
      <c r="B61" t="s">
        <v>41</v>
      </c>
      <c r="C61" t="s">
        <v>17</v>
      </c>
      <c r="D61">
        <f>VLOOKUP(C61,Lookups!$E$2:$F$47,2,FALSE)</f>
        <v>0.7</v>
      </c>
      <c r="E61" s="30"/>
      <c r="F61" s="29" t="str">
        <f t="shared" si="15"/>
        <v/>
      </c>
      <c r="G61" t="str">
        <f>IF(F61="","",_xlfn.RANK.EQ(F61,$F$38:$F$62,1)+COUNTIF($F$38:F87,F61)-1)</f>
        <v/>
      </c>
      <c r="H61" s="19" t="str">
        <f t="shared" si="11"/>
        <v/>
      </c>
      <c r="I61" s="18" t="str">
        <f t="shared" si="12"/>
        <v/>
      </c>
      <c r="J61" s="17" t="str">
        <f t="shared" si="13"/>
        <v/>
      </c>
      <c r="K61" s="16" t="str">
        <f t="shared" si="14"/>
        <v>~</v>
      </c>
    </row>
    <row r="62" spans="1:11" x14ac:dyDescent="0.25">
      <c r="A62">
        <v>19</v>
      </c>
      <c r="B62" t="s">
        <v>67</v>
      </c>
      <c r="C62" t="s">
        <v>34</v>
      </c>
      <c r="D62">
        <f>VLOOKUP(C62,Lookups!$E$2:$F$47,2,FALSE)</f>
        <v>0.8</v>
      </c>
      <c r="E62" s="30"/>
      <c r="F62" s="29" t="str">
        <f t="shared" si="15"/>
        <v/>
      </c>
      <c r="G62" t="str">
        <f>IF(F62="","",_xlfn.RANK.EQ(F62,$F$38:$F$62,1)+COUNTIF($F$38:F87,F62)-1)</f>
        <v/>
      </c>
      <c r="H62" s="19" t="str">
        <f t="shared" si="11"/>
        <v/>
      </c>
      <c r="I62" s="18" t="str">
        <f t="shared" si="12"/>
        <v/>
      </c>
      <c r="J62" s="17" t="str">
        <f t="shared" si="13"/>
        <v/>
      </c>
      <c r="K62" s="16" t="str">
        <f t="shared" si="14"/>
        <v>~</v>
      </c>
    </row>
    <row r="63" spans="1:11" x14ac:dyDescent="0.25">
      <c r="E63" s="26"/>
    </row>
    <row r="64" spans="1:11" x14ac:dyDescent="0.25">
      <c r="A64" t="s">
        <v>64</v>
      </c>
      <c r="E64" s="26"/>
    </row>
    <row r="65" spans="1:11" ht="30" x14ac:dyDescent="0.25">
      <c r="A65" t="s">
        <v>8</v>
      </c>
      <c r="B65" t="s">
        <v>9</v>
      </c>
      <c r="C65" t="s">
        <v>10</v>
      </c>
      <c r="D65" t="s">
        <v>54</v>
      </c>
      <c r="E65" s="27" t="s">
        <v>95</v>
      </c>
      <c r="F65" s="24" t="s">
        <v>94</v>
      </c>
      <c r="G65" s="24" t="s">
        <v>8</v>
      </c>
      <c r="H65" s="23" t="s">
        <v>93</v>
      </c>
      <c r="I65" s="22" t="s">
        <v>92</v>
      </c>
      <c r="J65" s="21" t="s">
        <v>91</v>
      </c>
      <c r="K65" s="20" t="s">
        <v>90</v>
      </c>
    </row>
    <row r="66" spans="1:11" x14ac:dyDescent="0.25">
      <c r="A66">
        <v>1</v>
      </c>
      <c r="B66" t="s">
        <v>60</v>
      </c>
      <c r="C66" t="s">
        <v>34</v>
      </c>
      <c r="D66">
        <f>VLOOKUP(C66,Lookups!$E$2:$F$47,2,FALSE)</f>
        <v>0.8</v>
      </c>
      <c r="E66" s="30"/>
      <c r="F66" s="29" t="str">
        <f>IF(E66="","",E66*D66)</f>
        <v/>
      </c>
      <c r="G66" t="str">
        <f>IF(F66="","",_xlfn.RANK.EQ(F66,$F$66:$F$86,1)+COUNTIF($F$66:F86,F66)-1)</f>
        <v/>
      </c>
      <c r="H66" s="19" t="str">
        <f>IFERROR((1000+200*(AVERAGE($F$66:$F$86)-F66)/_xlfn.STDEV.P($F$66:$F$86)),"")</f>
        <v/>
      </c>
      <c r="I66" s="18" t="str">
        <f>IFERROR(((1000*SMALL($F$66:$F$86,1)/F66)),"")</f>
        <v/>
      </c>
      <c r="J66" s="17" t="str">
        <f>IF(E66="","",IF(F66&gt;=2*SMALL($F$66:$F$86,1),0,1000-((F66-SMALL($F$66:$F$86,1))/SMALL($F$66:$F$86,1)*100)))</f>
        <v/>
      </c>
      <c r="K66" s="16" t="str">
        <f>IFERROR((1000-MINUTE(F66-SMALL($F$66:$F$86,1))),"~")</f>
        <v>~</v>
      </c>
    </row>
    <row r="67" spans="1:11" x14ac:dyDescent="0.25">
      <c r="A67">
        <v>2</v>
      </c>
      <c r="B67" t="s">
        <v>65</v>
      </c>
      <c r="C67" t="s">
        <v>108</v>
      </c>
      <c r="D67">
        <f>VLOOKUP(C67,Lookups!$E$2:$F$47,2,FALSE)</f>
        <v>0.65</v>
      </c>
      <c r="E67" s="30">
        <v>2.7534722222222221E-2</v>
      </c>
      <c r="F67" s="29">
        <f t="shared" ref="F67:F86" si="26">IF(E67="","",E67*D67)</f>
        <v>1.7897569444444445E-2</v>
      </c>
      <c r="G67">
        <f>IF(F67="","",_xlfn.RANK.EQ(F67,$F$66:$F$86,1)+COUNTIF($F$66:F87,F67)-1)</f>
        <v>1</v>
      </c>
      <c r="H67" s="19" t="str">
        <f t="shared" ref="H67:H86" si="27">IFERROR((1000+200*(AVERAGE($F$66:$F$86)-F67)/_xlfn.STDEV.P($F$66:$F$86)),"")</f>
        <v/>
      </c>
      <c r="I67" s="18">
        <f t="shared" ref="I67:I86" si="28">IFERROR(((1000*SMALL($F$66:$F$86,1)/F67)),"")</f>
        <v>1000.0000000000001</v>
      </c>
      <c r="J67" s="17">
        <f t="shared" ref="J67:J86" si="29">IF(E67="","",IF(F67&gt;=2*SMALL($F$66:$F$86,1),0,1000-((F67-SMALL($F$66:$F$86,1))/SMALL($F$66:$F$86,1)*100)))</f>
        <v>1000</v>
      </c>
      <c r="K67" s="16">
        <f t="shared" ref="K67:K86" si="30">IFERROR((1000-MINUTE(F67-SMALL($F$66:$F$86,1))),"~")</f>
        <v>1000</v>
      </c>
    </row>
    <row r="68" spans="1:11" x14ac:dyDescent="0.25">
      <c r="A68">
        <v>3</v>
      </c>
      <c r="B68" t="s">
        <v>67</v>
      </c>
      <c r="C68" t="s">
        <v>34</v>
      </c>
      <c r="D68">
        <f>VLOOKUP(C68,Lookups!$E$2:$F$47,2,FALSE)</f>
        <v>0.8</v>
      </c>
      <c r="E68" s="30"/>
      <c r="F68" s="29" t="str">
        <f t="shared" si="26"/>
        <v/>
      </c>
      <c r="G68" t="str">
        <f>IF(F68="","",_xlfn.RANK.EQ(F68,$F$66:$F$86,1)+COUNTIF($F$66:F88,F68)-1)</f>
        <v/>
      </c>
      <c r="H68" s="19" t="str">
        <f t="shared" si="27"/>
        <v/>
      </c>
      <c r="I68" s="18" t="str">
        <f t="shared" si="28"/>
        <v/>
      </c>
      <c r="J68" s="17" t="str">
        <f t="shared" si="29"/>
        <v/>
      </c>
      <c r="K68" s="16" t="str">
        <f t="shared" si="30"/>
        <v>~</v>
      </c>
    </row>
    <row r="69" spans="1:11" x14ac:dyDescent="0.25">
      <c r="B69" t="s">
        <v>44</v>
      </c>
      <c r="C69" t="s">
        <v>45</v>
      </c>
      <c r="D69">
        <f>VLOOKUP(C69,Lookups!$E$2:$F$47,2,FALSE)</f>
        <v>0.67</v>
      </c>
      <c r="E69" s="30"/>
      <c r="F69" s="29" t="str">
        <f t="shared" ref="F69:F75" si="31">IF(E69="","",E69*D69)</f>
        <v/>
      </c>
      <c r="G69" t="str">
        <f>IF(F69="","",_xlfn.RANK.EQ(F69,$F$66:$F$86,1)+COUNTIF($F$66:F89,F69)-1)</f>
        <v/>
      </c>
      <c r="H69" s="19" t="str">
        <f t="shared" ref="H69:H75" si="32">IFERROR((1000+200*(AVERAGE($F$66:$F$86)-F69)/_xlfn.STDEV.P($F$66:$F$86)),"")</f>
        <v/>
      </c>
      <c r="I69" s="18" t="str">
        <f t="shared" ref="I69:I75" si="33">IFERROR(((1000*SMALL($F$66:$F$86,1)/F69)),"")</f>
        <v/>
      </c>
      <c r="J69" s="17" t="str">
        <f t="shared" ref="J69:J75" si="34">IF(E69="","",IF(F69&gt;=2*SMALL($F$66:$F$86,1),0,1000-((F69-SMALL($F$66:$F$86,1))/SMALL($F$66:$F$86,1)*100)))</f>
        <v/>
      </c>
      <c r="K69" s="16" t="str">
        <f t="shared" ref="K69:K75" si="35">IFERROR((1000-MINUTE(F69-SMALL($F$66:$F$86,1))),"~")</f>
        <v>~</v>
      </c>
    </row>
    <row r="70" spans="1:11" x14ac:dyDescent="0.25">
      <c r="B70" t="s">
        <v>62</v>
      </c>
      <c r="C70" t="s">
        <v>63</v>
      </c>
      <c r="D70">
        <f>VLOOKUP(C70,Lookups!$E$2:$F$47,2,FALSE)</f>
        <v>0.62</v>
      </c>
      <c r="E70" s="30"/>
      <c r="F70" s="29" t="str">
        <f t="shared" si="31"/>
        <v/>
      </c>
      <c r="G70" t="str">
        <f>IF(F70="","",_xlfn.RANK.EQ(F70,$F$66:$F$86,1)+COUNTIF($F$66:F90,F70)-1)</f>
        <v/>
      </c>
      <c r="H70" s="19" t="str">
        <f t="shared" si="32"/>
        <v/>
      </c>
      <c r="I70" s="18" t="str">
        <f t="shared" si="33"/>
        <v/>
      </c>
      <c r="J70" s="17" t="str">
        <f t="shared" si="34"/>
        <v/>
      </c>
      <c r="K70" s="16" t="str">
        <f t="shared" si="35"/>
        <v>~</v>
      </c>
    </row>
    <row r="71" spans="1:11" x14ac:dyDescent="0.25">
      <c r="B71" t="s">
        <v>119</v>
      </c>
      <c r="C71" t="s">
        <v>47</v>
      </c>
      <c r="D71">
        <f>VLOOKUP(C71,Lookups!$E$2:$F$47,2,FALSE)</f>
        <v>0.8</v>
      </c>
      <c r="E71" s="30"/>
      <c r="F71" s="29" t="str">
        <f t="shared" si="31"/>
        <v/>
      </c>
      <c r="G71" t="str">
        <f>IF(F71="","",_xlfn.RANK.EQ(F71,$F$66:$F$86,1)+COUNTIF($F$66:F91,F71)-1)</f>
        <v/>
      </c>
      <c r="H71" s="19" t="str">
        <f t="shared" si="32"/>
        <v/>
      </c>
      <c r="I71" s="18" t="str">
        <f t="shared" si="33"/>
        <v/>
      </c>
      <c r="J71" s="17" t="str">
        <f t="shared" si="34"/>
        <v/>
      </c>
      <c r="K71" s="16" t="str">
        <f t="shared" si="35"/>
        <v>~</v>
      </c>
    </row>
    <row r="72" spans="1:11" x14ac:dyDescent="0.25">
      <c r="B72" t="s">
        <v>58</v>
      </c>
      <c r="C72" t="s">
        <v>59</v>
      </c>
      <c r="D72">
        <f>VLOOKUP(C72,Lookups!$E$2:$F$47,2,FALSE)</f>
        <v>0.77</v>
      </c>
      <c r="E72" s="30"/>
      <c r="F72" s="29" t="str">
        <f t="shared" si="31"/>
        <v/>
      </c>
      <c r="G72" t="str">
        <f>IF(F72="","",_xlfn.RANK.EQ(F72,$F$66:$F$86,1)+COUNTIF($F$66:F95,F72)-1)</f>
        <v/>
      </c>
      <c r="H72" s="19" t="str">
        <f t="shared" si="32"/>
        <v/>
      </c>
      <c r="I72" s="18" t="str">
        <f t="shared" si="33"/>
        <v/>
      </c>
      <c r="J72" s="17" t="str">
        <f t="shared" si="34"/>
        <v/>
      </c>
      <c r="K72" s="16" t="str">
        <f t="shared" si="35"/>
        <v>~</v>
      </c>
    </row>
    <row r="73" spans="1:11" x14ac:dyDescent="0.25">
      <c r="B73" t="s">
        <v>112</v>
      </c>
      <c r="C73" t="s">
        <v>17</v>
      </c>
      <c r="D73">
        <f>VLOOKUP(C73,Lookups!$E$2:$F$47,2,FALSE)</f>
        <v>0.7</v>
      </c>
      <c r="E73" s="30"/>
      <c r="F73" s="29" t="str">
        <f t="shared" si="31"/>
        <v/>
      </c>
      <c r="G73" t="str">
        <f>IF(F73="","",_xlfn.RANK.EQ(F73,$F$66:$F$86,1)+COUNTIF($F$66:F96,F73)-1)</f>
        <v/>
      </c>
      <c r="H73" s="19" t="str">
        <f t="shared" si="32"/>
        <v/>
      </c>
      <c r="I73" s="18" t="str">
        <f t="shared" si="33"/>
        <v/>
      </c>
      <c r="J73" s="17" t="str">
        <f t="shared" si="34"/>
        <v/>
      </c>
      <c r="K73" s="16" t="str">
        <f t="shared" si="35"/>
        <v>~</v>
      </c>
    </row>
    <row r="74" spans="1:11" x14ac:dyDescent="0.25">
      <c r="B74" t="s">
        <v>113</v>
      </c>
      <c r="C74" t="s">
        <v>47</v>
      </c>
      <c r="D74">
        <f>VLOOKUP(C74,Lookups!$E$2:$F$47,2,FALSE)</f>
        <v>0.8</v>
      </c>
      <c r="E74" s="30"/>
      <c r="F74" s="29" t="str">
        <f t="shared" si="31"/>
        <v/>
      </c>
      <c r="G74" t="str">
        <f>IF(F74="","",_xlfn.RANK.EQ(F74,$F$66:$F$86,1)+COUNTIF($F$66:F97,F74)-1)</f>
        <v/>
      </c>
      <c r="H74" s="19" t="str">
        <f t="shared" si="32"/>
        <v/>
      </c>
      <c r="I74" s="18" t="str">
        <f t="shared" si="33"/>
        <v/>
      </c>
      <c r="J74" s="17" t="str">
        <f t="shared" si="34"/>
        <v/>
      </c>
      <c r="K74" s="16" t="str">
        <f t="shared" si="35"/>
        <v>~</v>
      </c>
    </row>
    <row r="75" spans="1:11" x14ac:dyDescent="0.25">
      <c r="B75" t="s">
        <v>111</v>
      </c>
      <c r="C75" t="s">
        <v>39</v>
      </c>
      <c r="D75">
        <f>VLOOKUP(C75,Lookups!$E$2:$F$47,2,FALSE)</f>
        <v>0.9</v>
      </c>
      <c r="E75" s="30"/>
      <c r="F75" s="29" t="str">
        <f t="shared" si="31"/>
        <v/>
      </c>
      <c r="G75" t="str">
        <f>IF(F75="","",_xlfn.RANK.EQ(F75,$F$66:$F$86,1)+COUNTIF($F$66:F98,F75)-1)</f>
        <v/>
      </c>
      <c r="H75" s="19" t="str">
        <f t="shared" si="32"/>
        <v/>
      </c>
      <c r="I75" s="18" t="str">
        <f t="shared" si="33"/>
        <v/>
      </c>
      <c r="J75" s="17" t="str">
        <f t="shared" si="34"/>
        <v/>
      </c>
      <c r="K75" s="16" t="str">
        <f t="shared" si="35"/>
        <v>~</v>
      </c>
    </row>
    <row r="76" spans="1:11" x14ac:dyDescent="0.25">
      <c r="A76">
        <v>4</v>
      </c>
      <c r="B76" t="s">
        <v>57</v>
      </c>
      <c r="C76" t="s">
        <v>49</v>
      </c>
      <c r="D76">
        <f>VLOOKUP(C76,Lookups!$E$2:$F$47,2,FALSE)</f>
        <v>0.7</v>
      </c>
      <c r="E76" s="30"/>
      <c r="F76" s="29" t="str">
        <f t="shared" si="26"/>
        <v/>
      </c>
      <c r="G76" t="str">
        <f>IF(F76="","",_xlfn.RANK.EQ(F76,$F$66:$F$86,1)+COUNTIF($F$66:F89,F76)-1)</f>
        <v/>
      </c>
      <c r="H76" s="19" t="str">
        <f t="shared" si="27"/>
        <v/>
      </c>
      <c r="I76" s="18" t="str">
        <f t="shared" si="28"/>
        <v/>
      </c>
      <c r="J76" s="17" t="str">
        <f t="shared" si="29"/>
        <v/>
      </c>
      <c r="K76" s="16" t="str">
        <f t="shared" si="30"/>
        <v>~</v>
      </c>
    </row>
    <row r="77" spans="1:11" x14ac:dyDescent="0.25">
      <c r="A77">
        <v>5</v>
      </c>
      <c r="B77" t="s">
        <v>125</v>
      </c>
      <c r="C77" t="s">
        <v>49</v>
      </c>
      <c r="D77">
        <f>VLOOKUP(C77,Lookups!$E$2:$F$47,2,FALSE)</f>
        <v>0.7</v>
      </c>
      <c r="E77" s="30"/>
      <c r="F77" s="29" t="str">
        <f t="shared" si="26"/>
        <v/>
      </c>
      <c r="G77" t="str">
        <f>IF(F77="","",_xlfn.RANK.EQ(F77,$F$66:$F$86,1)+COUNTIF($F$66:F90,F77)-1)</f>
        <v/>
      </c>
      <c r="H77" s="19" t="str">
        <f t="shared" si="27"/>
        <v/>
      </c>
      <c r="I77" s="18" t="str">
        <f t="shared" si="28"/>
        <v/>
      </c>
      <c r="J77" s="17" t="str">
        <f t="shared" si="29"/>
        <v/>
      </c>
      <c r="K77" s="16" t="str">
        <f t="shared" si="30"/>
        <v>~</v>
      </c>
    </row>
    <row r="78" spans="1:11" x14ac:dyDescent="0.25">
      <c r="A78">
        <v>6</v>
      </c>
      <c r="B78" t="s">
        <v>69</v>
      </c>
      <c r="C78" t="s">
        <v>70</v>
      </c>
      <c r="D78">
        <f>VLOOKUP(C78,Lookups!$E$2:$F$47,2,FALSE)</f>
        <v>0.71</v>
      </c>
      <c r="E78" s="30"/>
      <c r="F78" s="29" t="str">
        <f t="shared" si="26"/>
        <v/>
      </c>
      <c r="G78" t="str">
        <f>IF(F78="","",_xlfn.RANK.EQ(F78,$F$66:$F$86,1)+COUNTIF($F$66:F91,F78)-1)</f>
        <v/>
      </c>
      <c r="H78" s="19" t="str">
        <f t="shared" si="27"/>
        <v/>
      </c>
      <c r="I78" s="18" t="str">
        <f t="shared" si="28"/>
        <v/>
      </c>
      <c r="J78" s="17" t="str">
        <f t="shared" si="29"/>
        <v/>
      </c>
      <c r="K78" s="16" t="str">
        <f t="shared" si="30"/>
        <v>~</v>
      </c>
    </row>
    <row r="79" spans="1:11" x14ac:dyDescent="0.25">
      <c r="A79">
        <v>7</v>
      </c>
      <c r="B79" t="s">
        <v>71</v>
      </c>
      <c r="C79" t="s">
        <v>72</v>
      </c>
      <c r="D79">
        <f>VLOOKUP(C79,Lookups!$E$2:$F$47,2,FALSE)</f>
        <v>0.6</v>
      </c>
      <c r="E79" s="30"/>
      <c r="F79" s="29" t="str">
        <f t="shared" si="26"/>
        <v/>
      </c>
      <c r="G79" t="str">
        <f>IF(F79="","",_xlfn.RANK.EQ(F79,$F$66:$F$86,1)+COUNTIF($F$66:F95,F79)-1)</f>
        <v/>
      </c>
      <c r="H79" s="19" t="str">
        <f t="shared" si="27"/>
        <v/>
      </c>
      <c r="I79" s="18" t="str">
        <f t="shared" si="28"/>
        <v/>
      </c>
      <c r="J79" s="17" t="str">
        <f t="shared" si="29"/>
        <v/>
      </c>
      <c r="K79" s="16" t="str">
        <f t="shared" si="30"/>
        <v>~</v>
      </c>
    </row>
    <row r="80" spans="1:11" x14ac:dyDescent="0.25">
      <c r="A80">
        <v>8</v>
      </c>
      <c r="B80" t="s">
        <v>73</v>
      </c>
      <c r="C80" t="s">
        <v>63</v>
      </c>
      <c r="D80">
        <f>VLOOKUP(C80,Lookups!$E$2:$F$47,2,FALSE)</f>
        <v>0.62</v>
      </c>
      <c r="E80" s="30"/>
      <c r="F80" s="29" t="str">
        <f t="shared" si="26"/>
        <v/>
      </c>
      <c r="G80" t="str">
        <f>IF(F80="","",_xlfn.RANK.EQ(F80,$F$66:$F$86,1)+COUNTIF($F$66:F96,F80)-1)</f>
        <v/>
      </c>
      <c r="H80" s="19" t="str">
        <f t="shared" si="27"/>
        <v/>
      </c>
      <c r="I80" s="18" t="str">
        <f t="shared" si="28"/>
        <v/>
      </c>
      <c r="J80" s="17" t="str">
        <f t="shared" si="29"/>
        <v/>
      </c>
      <c r="K80" s="16" t="str">
        <f t="shared" si="30"/>
        <v>~</v>
      </c>
    </row>
    <row r="81" spans="1:11" x14ac:dyDescent="0.25">
      <c r="A81">
        <v>9</v>
      </c>
      <c r="B81" t="s">
        <v>74</v>
      </c>
      <c r="C81" t="s">
        <v>34</v>
      </c>
      <c r="D81">
        <f>VLOOKUP(C81,Lookups!$E$2:$F$47,2,FALSE)</f>
        <v>0.8</v>
      </c>
      <c r="E81" s="30"/>
      <c r="F81" s="29" t="str">
        <f t="shared" si="26"/>
        <v/>
      </c>
      <c r="G81" t="str">
        <f>IF(F81="","",_xlfn.RANK.EQ(F81,$F$66:$F$86,1)+COUNTIF($F$66:F97,F81)-1)</f>
        <v/>
      </c>
      <c r="H81" s="19" t="str">
        <f t="shared" si="27"/>
        <v/>
      </c>
      <c r="I81" s="18" t="str">
        <f t="shared" si="28"/>
        <v/>
      </c>
      <c r="J81" s="17" t="str">
        <f t="shared" si="29"/>
        <v/>
      </c>
      <c r="K81" s="16" t="str">
        <f t="shared" si="30"/>
        <v>~</v>
      </c>
    </row>
    <row r="82" spans="1:11" x14ac:dyDescent="0.25">
      <c r="A82">
        <v>10</v>
      </c>
      <c r="B82" t="s">
        <v>75</v>
      </c>
      <c r="C82" t="s">
        <v>21</v>
      </c>
      <c r="D82">
        <f>VLOOKUP(C82,Lookups!$E$2:$F$47,2,FALSE)</f>
        <v>0.84</v>
      </c>
      <c r="E82" s="30"/>
      <c r="F82" s="29" t="str">
        <f t="shared" si="26"/>
        <v/>
      </c>
      <c r="G82" t="str">
        <f>IF(F82="","",_xlfn.RANK.EQ(F82,$F$66:$F$86,1)+COUNTIF($F$66:F98,F82)-1)</f>
        <v/>
      </c>
      <c r="H82" s="19" t="str">
        <f t="shared" si="27"/>
        <v/>
      </c>
      <c r="I82" s="18" t="str">
        <f t="shared" si="28"/>
        <v/>
      </c>
      <c r="J82" s="17" t="str">
        <f t="shared" si="29"/>
        <v/>
      </c>
      <c r="K82" s="16" t="str">
        <f t="shared" si="30"/>
        <v>~</v>
      </c>
    </row>
    <row r="83" spans="1:11" x14ac:dyDescent="0.25">
      <c r="A83">
        <v>11</v>
      </c>
      <c r="B83" t="s">
        <v>76</v>
      </c>
      <c r="C83" t="s">
        <v>19</v>
      </c>
      <c r="D83">
        <f>VLOOKUP(C83,Lookups!$E$2:$F$47,2,FALSE)</f>
        <v>0.63</v>
      </c>
      <c r="E83" s="30"/>
      <c r="F83" s="29" t="str">
        <f t="shared" si="26"/>
        <v/>
      </c>
      <c r="G83" t="str">
        <f>IF(F83="","",_xlfn.RANK.EQ(F83,$F$66:$F$86,1)+COUNTIF($F$66:F99,F83)-1)</f>
        <v/>
      </c>
      <c r="H83" s="19" t="str">
        <f t="shared" si="27"/>
        <v/>
      </c>
      <c r="I83" s="18" t="str">
        <f t="shared" si="28"/>
        <v/>
      </c>
      <c r="J83" s="17" t="str">
        <f t="shared" si="29"/>
        <v/>
      </c>
      <c r="K83" s="16" t="str">
        <f t="shared" si="30"/>
        <v>~</v>
      </c>
    </row>
    <row r="84" spans="1:11" x14ac:dyDescent="0.25">
      <c r="A84">
        <v>12</v>
      </c>
      <c r="B84" t="s">
        <v>77</v>
      </c>
      <c r="C84" t="s">
        <v>49</v>
      </c>
      <c r="D84">
        <f>VLOOKUP(C84,Lookups!$E$2:$F$47,2,FALSE)</f>
        <v>0.7</v>
      </c>
      <c r="E84" s="30"/>
      <c r="F84" s="29" t="str">
        <f t="shared" si="26"/>
        <v/>
      </c>
      <c r="G84" t="str">
        <f>IF(F84="","",_xlfn.RANK.EQ(F84,$F$66:$F$86,1)+COUNTIF($F$66:F100,F84)-1)</f>
        <v/>
      </c>
      <c r="H84" s="19" t="str">
        <f t="shared" si="27"/>
        <v/>
      </c>
      <c r="I84" s="18" t="str">
        <f t="shared" si="28"/>
        <v/>
      </c>
      <c r="J84" s="17" t="str">
        <f t="shared" si="29"/>
        <v/>
      </c>
      <c r="K84" s="16" t="str">
        <f t="shared" si="30"/>
        <v>~</v>
      </c>
    </row>
    <row r="85" spans="1:11" x14ac:dyDescent="0.25">
      <c r="A85">
        <v>13</v>
      </c>
      <c r="B85" t="s">
        <v>78</v>
      </c>
      <c r="C85" t="s">
        <v>72</v>
      </c>
      <c r="D85">
        <f>VLOOKUP(C85,Lookups!$E$2:$F$47,2,FALSE)</f>
        <v>0.6</v>
      </c>
      <c r="E85" s="30"/>
      <c r="F85" s="29" t="str">
        <f t="shared" si="26"/>
        <v/>
      </c>
      <c r="G85" t="str">
        <f>IF(F85="","",_xlfn.RANK.EQ(F85,$F$66:$F$86,1)+COUNTIF($F$66:F101,F85)-1)</f>
        <v/>
      </c>
      <c r="H85" s="19" t="str">
        <f t="shared" si="27"/>
        <v/>
      </c>
      <c r="I85" s="18" t="str">
        <f t="shared" si="28"/>
        <v/>
      </c>
      <c r="J85" s="17" t="str">
        <f t="shared" si="29"/>
        <v/>
      </c>
      <c r="K85" s="16" t="str">
        <f t="shared" si="30"/>
        <v>~</v>
      </c>
    </row>
    <row r="86" spans="1:11" x14ac:dyDescent="0.25">
      <c r="A86">
        <v>14</v>
      </c>
      <c r="B86" t="s">
        <v>79</v>
      </c>
      <c r="C86" t="s">
        <v>80</v>
      </c>
      <c r="D86">
        <f>VLOOKUP(C86,Lookups!$E$2:$F$47,2,FALSE)</f>
        <v>0.53</v>
      </c>
      <c r="E86" s="30"/>
      <c r="F86" s="29" t="str">
        <f t="shared" si="26"/>
        <v/>
      </c>
      <c r="G86" t="str">
        <f>IF(F86="","",_xlfn.RANK.EQ(F86,$F$66:$F$86,1)+COUNTIF($F$66:F102,F86)-1)</f>
        <v/>
      </c>
      <c r="H86" s="19" t="str">
        <f t="shared" si="27"/>
        <v/>
      </c>
      <c r="I86" s="18" t="str">
        <f t="shared" si="28"/>
        <v/>
      </c>
      <c r="J86" s="17" t="str">
        <f t="shared" si="29"/>
        <v/>
      </c>
      <c r="K86" s="16" t="str">
        <f t="shared" si="30"/>
        <v>~</v>
      </c>
    </row>
    <row r="87" spans="1:11" x14ac:dyDescent="0.25">
      <c r="E87" s="26"/>
    </row>
    <row r="88" spans="1:11" x14ac:dyDescent="0.25">
      <c r="A88" t="s">
        <v>81</v>
      </c>
      <c r="E88" s="26"/>
    </row>
    <row r="89" spans="1:11" ht="30" x14ac:dyDescent="0.25">
      <c r="A89" t="s">
        <v>8</v>
      </c>
      <c r="B89" t="s">
        <v>9</v>
      </c>
      <c r="C89" t="s">
        <v>10</v>
      </c>
      <c r="D89" t="s">
        <v>54</v>
      </c>
      <c r="E89" s="27" t="s">
        <v>95</v>
      </c>
      <c r="F89" s="24" t="s">
        <v>94</v>
      </c>
      <c r="G89" s="24" t="s">
        <v>8</v>
      </c>
      <c r="H89" s="23" t="s">
        <v>93</v>
      </c>
      <c r="I89" s="22" t="s">
        <v>92</v>
      </c>
      <c r="J89" s="21" t="s">
        <v>91</v>
      </c>
      <c r="K89" s="20" t="s">
        <v>90</v>
      </c>
    </row>
    <row r="90" spans="1:11" x14ac:dyDescent="0.25">
      <c r="A90">
        <v>1</v>
      </c>
      <c r="B90" t="s">
        <v>65</v>
      </c>
      <c r="C90" t="s">
        <v>108</v>
      </c>
      <c r="D90">
        <f>VLOOKUP(C90,Lookups!$E$2:$F$47,2,FALSE)</f>
        <v>0.65</v>
      </c>
      <c r="E90" s="30"/>
      <c r="F90" s="29" t="str">
        <f>IF(E90="","",E90*D90)</f>
        <v/>
      </c>
      <c r="G90" t="str">
        <f>IF(F90="","",_xlfn.RANK.EQ(F90,$F$90:$F$103,1)+COUNTIF($F$90:F103,F90)-1)</f>
        <v/>
      </c>
      <c r="H90" s="19" t="str">
        <f>IFERROR((1000+200*(AVERAGE($F$90:$F$103)-F90)/_xlfn.STDEV.P($F$90:$F$103)),"")</f>
        <v/>
      </c>
      <c r="I90" s="18" t="str">
        <f>IFERROR(((1000*SMALL($F$90:$F$103,1)/F90)),"")</f>
        <v/>
      </c>
      <c r="J90" s="17" t="str">
        <f>IF(E90="","",IF(F90&gt;=2*SMALL($F$90:$F$103,1),0,1000-((F90-SMALL($F$90:$F$103,1))/SMALL($F$90:$F$103,1)*100)))</f>
        <v/>
      </c>
      <c r="K90" s="16" t="str">
        <f>IFERROR((1000-MINUTE(F90-SMALL($F$90:$F$103,1))),"~")</f>
        <v>~</v>
      </c>
    </row>
    <row r="91" spans="1:11" x14ac:dyDescent="0.25">
      <c r="A91">
        <v>2</v>
      </c>
      <c r="B91" t="s">
        <v>68</v>
      </c>
      <c r="C91" t="s">
        <v>63</v>
      </c>
      <c r="D91">
        <f>VLOOKUP(C91,Lookups!$E$2:$F$47,2,FALSE)</f>
        <v>0.62</v>
      </c>
      <c r="E91" s="30"/>
      <c r="F91" s="29" t="str">
        <f t="shared" ref="F91:F103" si="36">IF(E91="","",E91*D91)</f>
        <v/>
      </c>
      <c r="G91" t="str">
        <f>IF(F91="","",_xlfn.RANK.EQ(F91,$F$90:$F$103,1)+COUNTIF($F$90:F104,F91)-1)</f>
        <v/>
      </c>
      <c r="H91" s="19" t="str">
        <f t="shared" ref="H91:H103" si="37">IFERROR((1000+200*(AVERAGE($F$90:$F$103)-F91)/_xlfn.STDEV.P($F$90:$F$103)),"")</f>
        <v/>
      </c>
      <c r="I91" s="18" t="str">
        <f t="shared" ref="I91:I103" si="38">IFERROR(((1000*SMALL($F$90:$F$103,1)/F91)),"")</f>
        <v/>
      </c>
      <c r="J91" s="17" t="str">
        <f t="shared" ref="J91:J103" si="39">IF(E91="","",IF(F91&gt;=2*SMALL($F$90:$F$103,1),0,1000-((F91-SMALL($F$90:$F$103,1))/SMALL($F$90:$F$103,1)*100)))</f>
        <v/>
      </c>
      <c r="K91" s="16" t="str">
        <f t="shared" ref="K91:K103" si="40">IFERROR((1000-MINUTE(F91-SMALL($F$90:$F$103,1))),"~")</f>
        <v>~</v>
      </c>
    </row>
    <row r="92" spans="1:11" x14ac:dyDescent="0.25">
      <c r="B92" t="s">
        <v>120</v>
      </c>
      <c r="C92" t="s">
        <v>72</v>
      </c>
      <c r="D92">
        <f>VLOOKUP(C92,Lookups!$E$2:$F$47,2,FALSE)</f>
        <v>0.6</v>
      </c>
      <c r="E92" s="30"/>
      <c r="F92" s="29" t="str">
        <f t="shared" ref="F92:F94" si="41">IF(E92="","",E92*D92)</f>
        <v/>
      </c>
      <c r="G92" t="str">
        <f>IF(F92="","",_xlfn.RANK.EQ(F92,$F$90:$F$103,1)+COUNTIF($F$90:F105,F92)-1)</f>
        <v/>
      </c>
      <c r="H92" s="19" t="str">
        <f t="shared" ref="H92:H94" si="42">IFERROR((1000+200*(AVERAGE($F$90:$F$103)-F92)/_xlfn.STDEV.P($F$90:$F$103)),"")</f>
        <v/>
      </c>
      <c r="I92" s="18" t="str">
        <f t="shared" ref="I92:I94" si="43">IFERROR(((1000*SMALL($F$90:$F$103,1)/F92)),"")</f>
        <v/>
      </c>
      <c r="J92" s="17" t="str">
        <f t="shared" ref="J92:J94" si="44">IF(E92="","",IF(F92&gt;=2*SMALL($F$90:$F$103,1),0,1000-((F92-SMALL($F$90:$F$103,1))/SMALL($F$90:$F$103,1)*100)))</f>
        <v/>
      </c>
      <c r="K92" s="16" t="str">
        <f t="shared" ref="K92:K94" si="45">IFERROR((1000-MINUTE(F92-SMALL($F$90:$F$103,1))),"~")</f>
        <v>~</v>
      </c>
    </row>
    <row r="93" spans="1:11" x14ac:dyDescent="0.25">
      <c r="B93" t="s">
        <v>122</v>
      </c>
      <c r="C93" t="s">
        <v>66</v>
      </c>
      <c r="D93">
        <f>VLOOKUP(C93,Lookups!$E$2:$F$47,2,FALSE)</f>
        <v>0.57999999999999996</v>
      </c>
      <c r="E93" s="30"/>
      <c r="F93" s="29" t="str">
        <f t="shared" si="41"/>
        <v/>
      </c>
      <c r="G93" t="str">
        <f>IF(F93="","",_xlfn.RANK.EQ(F93,$F$90:$F$103,1)+COUNTIF($F$90:F106,F93)-1)</f>
        <v/>
      </c>
      <c r="H93" s="19" t="str">
        <f t="shared" si="42"/>
        <v/>
      </c>
      <c r="I93" s="18" t="str">
        <f t="shared" si="43"/>
        <v/>
      </c>
      <c r="J93" s="17" t="str">
        <f t="shared" si="44"/>
        <v/>
      </c>
      <c r="K93" s="16" t="str">
        <f t="shared" si="45"/>
        <v>~</v>
      </c>
    </row>
    <row r="94" spans="1:11" x14ac:dyDescent="0.25">
      <c r="B94" t="s">
        <v>121</v>
      </c>
      <c r="C94" t="s">
        <v>72</v>
      </c>
      <c r="D94">
        <f>VLOOKUP(C94,Lookups!$E$2:$F$47,2,FALSE)</f>
        <v>0.6</v>
      </c>
      <c r="E94" s="30"/>
      <c r="F94" s="29" t="str">
        <f t="shared" si="41"/>
        <v/>
      </c>
      <c r="G94" t="str">
        <f>IF(F94="","",_xlfn.RANK.EQ(F94,$F$90:$F$103,1)+COUNTIF($F$90:F107,F94)-1)</f>
        <v/>
      </c>
      <c r="H94" s="19" t="str">
        <f t="shared" si="42"/>
        <v/>
      </c>
      <c r="I94" s="18" t="str">
        <f t="shared" si="43"/>
        <v/>
      </c>
      <c r="J94" s="17" t="str">
        <f t="shared" si="44"/>
        <v/>
      </c>
      <c r="K94" s="16" t="str">
        <f t="shared" si="45"/>
        <v>~</v>
      </c>
    </row>
    <row r="95" spans="1:11" x14ac:dyDescent="0.25">
      <c r="A95">
        <v>3</v>
      </c>
      <c r="B95" t="s">
        <v>71</v>
      </c>
      <c r="C95" t="s">
        <v>72</v>
      </c>
      <c r="D95">
        <f>VLOOKUP(C95,Lookups!$E$2:$F$47,2,FALSE)</f>
        <v>0.6</v>
      </c>
      <c r="E95" s="30"/>
      <c r="F95" s="29" t="str">
        <f t="shared" si="36"/>
        <v/>
      </c>
      <c r="G95" t="str">
        <f>IF(F95="","",_xlfn.RANK.EQ(F95,$F$90:$F$103,1)+COUNTIF($F$90:F105,F95)-1)</f>
        <v/>
      </c>
      <c r="H95" s="19" t="str">
        <f t="shared" si="37"/>
        <v/>
      </c>
      <c r="I95" s="18" t="str">
        <f t="shared" si="38"/>
        <v/>
      </c>
      <c r="J95" s="17" t="str">
        <f t="shared" si="39"/>
        <v/>
      </c>
      <c r="K95" s="16" t="str">
        <f t="shared" si="40"/>
        <v>~</v>
      </c>
    </row>
    <row r="96" spans="1:11" x14ac:dyDescent="0.25">
      <c r="A96">
        <v>4</v>
      </c>
      <c r="B96" t="s">
        <v>83</v>
      </c>
      <c r="C96" t="s">
        <v>66</v>
      </c>
      <c r="D96">
        <f>VLOOKUP(C96,Lookups!$E$2:$F$47,2,FALSE)</f>
        <v>0.57999999999999996</v>
      </c>
      <c r="E96" s="30"/>
      <c r="F96" s="29" t="str">
        <f t="shared" si="36"/>
        <v/>
      </c>
      <c r="G96" t="str">
        <f>IF(F96="","",_xlfn.RANK.EQ(F96,$F$90:$F$103,1)+COUNTIF($F$90:F106,F96)-1)</f>
        <v/>
      </c>
      <c r="H96" s="19" t="str">
        <f t="shared" si="37"/>
        <v/>
      </c>
      <c r="I96" s="18" t="str">
        <f t="shared" si="38"/>
        <v/>
      </c>
      <c r="J96" s="17" t="str">
        <f t="shared" si="39"/>
        <v/>
      </c>
      <c r="K96" s="16" t="str">
        <f t="shared" si="40"/>
        <v>~</v>
      </c>
    </row>
    <row r="97" spans="1:11" x14ac:dyDescent="0.25">
      <c r="A97">
        <v>4</v>
      </c>
      <c r="B97" t="s">
        <v>84</v>
      </c>
      <c r="C97" t="s">
        <v>49</v>
      </c>
      <c r="D97">
        <f>VLOOKUP(C97,Lookups!$E$2:$F$47,2,FALSE)</f>
        <v>0.7</v>
      </c>
      <c r="E97" s="30"/>
      <c r="F97" s="29" t="str">
        <f t="shared" si="36"/>
        <v/>
      </c>
      <c r="G97" t="str">
        <f>IF(F97="","",_xlfn.RANK.EQ(F97,$F$90:$F$103,1)+COUNTIF($F$90:F107,F97)-1)</f>
        <v/>
      </c>
      <c r="H97" s="19" t="str">
        <f t="shared" si="37"/>
        <v/>
      </c>
      <c r="I97" s="18" t="str">
        <f t="shared" si="38"/>
        <v/>
      </c>
      <c r="J97" s="17" t="str">
        <f t="shared" si="39"/>
        <v/>
      </c>
      <c r="K97" s="16" t="str">
        <f t="shared" si="40"/>
        <v>~</v>
      </c>
    </row>
    <row r="98" spans="1:11" x14ac:dyDescent="0.25">
      <c r="A98">
        <v>6</v>
      </c>
      <c r="B98" t="s">
        <v>85</v>
      </c>
      <c r="C98" t="s">
        <v>72</v>
      </c>
      <c r="D98">
        <f>VLOOKUP(C98,Lookups!$E$2:$F$47,2,FALSE)</f>
        <v>0.6</v>
      </c>
      <c r="E98" s="30"/>
      <c r="F98" s="29" t="str">
        <f t="shared" si="36"/>
        <v/>
      </c>
      <c r="G98" t="str">
        <f>IF(F98="","",_xlfn.RANK.EQ(F98,$F$90:$F$103,1)+COUNTIF($F$90:F108,F98)-1)</f>
        <v/>
      </c>
      <c r="H98" s="19" t="str">
        <f t="shared" si="37"/>
        <v/>
      </c>
      <c r="I98" s="18" t="str">
        <f t="shared" si="38"/>
        <v/>
      </c>
      <c r="J98" s="17" t="str">
        <f t="shared" si="39"/>
        <v/>
      </c>
      <c r="K98" s="16" t="str">
        <f t="shared" si="40"/>
        <v>~</v>
      </c>
    </row>
    <row r="99" spans="1:11" x14ac:dyDescent="0.25">
      <c r="A99">
        <v>7</v>
      </c>
      <c r="B99" t="s">
        <v>57</v>
      </c>
      <c r="C99" t="s">
        <v>49</v>
      </c>
      <c r="D99">
        <f>VLOOKUP(C99,Lookups!$E$2:$F$47,2,FALSE)</f>
        <v>0.7</v>
      </c>
      <c r="E99" s="30"/>
      <c r="F99" s="29" t="str">
        <f t="shared" si="36"/>
        <v/>
      </c>
      <c r="G99" t="str">
        <f>IF(F99="","",_xlfn.RANK.EQ(F99,$F$90:$F$103,1)+COUNTIF($F$90:F109,F99)-1)</f>
        <v/>
      </c>
      <c r="H99" s="19" t="str">
        <f t="shared" si="37"/>
        <v/>
      </c>
      <c r="I99" s="18" t="str">
        <f t="shared" si="38"/>
        <v/>
      </c>
      <c r="J99" s="17" t="str">
        <f t="shared" si="39"/>
        <v/>
      </c>
      <c r="K99" s="16" t="str">
        <f t="shared" si="40"/>
        <v>~</v>
      </c>
    </row>
    <row r="100" spans="1:11" x14ac:dyDescent="0.25">
      <c r="A100">
        <v>8</v>
      </c>
      <c r="B100" t="s">
        <v>112</v>
      </c>
      <c r="C100" t="s">
        <v>17</v>
      </c>
      <c r="D100">
        <f>VLOOKUP(C100,Lookups!$E$2:$F$47,2,FALSE)</f>
        <v>0.7</v>
      </c>
      <c r="E100" s="30"/>
      <c r="F100" s="29" t="str">
        <f t="shared" si="36"/>
        <v/>
      </c>
      <c r="G100" t="str">
        <f>IF(F100="","",_xlfn.RANK.EQ(F100,$F$90:$F$103,1)+COUNTIF($F$90:F110,F100)-1)</f>
        <v/>
      </c>
      <c r="H100" s="19" t="str">
        <f t="shared" si="37"/>
        <v/>
      </c>
      <c r="I100" s="18" t="str">
        <f t="shared" si="38"/>
        <v/>
      </c>
      <c r="J100" s="17" t="str">
        <f t="shared" si="39"/>
        <v/>
      </c>
      <c r="K100" s="16" t="str">
        <f t="shared" si="40"/>
        <v>~</v>
      </c>
    </row>
    <row r="101" spans="1:11" x14ac:dyDescent="0.25">
      <c r="A101">
        <v>9</v>
      </c>
      <c r="B101" t="s">
        <v>87</v>
      </c>
      <c r="C101" t="s">
        <v>72</v>
      </c>
      <c r="D101">
        <f>VLOOKUP(C101,Lookups!$E$2:$F$47,2,FALSE)</f>
        <v>0.6</v>
      </c>
      <c r="E101" s="30"/>
      <c r="F101" s="29" t="str">
        <f t="shared" si="36"/>
        <v/>
      </c>
      <c r="G101" t="str">
        <f>IF(F101="","",_xlfn.RANK.EQ(F101,$F$90:$F$103,1)+COUNTIF($F$90:F111,F101)-1)</f>
        <v/>
      </c>
      <c r="H101" s="19" t="str">
        <f t="shared" si="37"/>
        <v/>
      </c>
      <c r="I101" s="18" t="str">
        <f t="shared" si="38"/>
        <v/>
      </c>
      <c r="J101" s="17" t="str">
        <f t="shared" si="39"/>
        <v/>
      </c>
      <c r="K101" s="16" t="str">
        <f t="shared" si="40"/>
        <v>~</v>
      </c>
    </row>
    <row r="102" spans="1:11" x14ac:dyDescent="0.25">
      <c r="A102">
        <v>9</v>
      </c>
      <c r="B102" t="s">
        <v>88</v>
      </c>
      <c r="C102" t="s">
        <v>66</v>
      </c>
      <c r="D102">
        <f>VLOOKUP(C102,Lookups!$E$2:$F$47,2,FALSE)</f>
        <v>0.57999999999999996</v>
      </c>
      <c r="E102" s="30"/>
      <c r="F102" s="29" t="str">
        <f t="shared" si="36"/>
        <v/>
      </c>
      <c r="G102" t="str">
        <f>IF(F102="","",_xlfn.RANK.EQ(F102,$F$90:$F$103,1)+COUNTIF($F$90:F112,F102)-1)</f>
        <v/>
      </c>
      <c r="H102" s="19" t="str">
        <f t="shared" si="37"/>
        <v/>
      </c>
      <c r="I102" s="18" t="str">
        <f t="shared" si="38"/>
        <v/>
      </c>
      <c r="J102" s="17" t="str">
        <f t="shared" si="39"/>
        <v/>
      </c>
      <c r="K102" s="16" t="str">
        <f t="shared" si="40"/>
        <v>~</v>
      </c>
    </row>
    <row r="103" spans="1:11" x14ac:dyDescent="0.25">
      <c r="A103">
        <v>9</v>
      </c>
      <c r="B103" t="s">
        <v>89</v>
      </c>
      <c r="C103" t="s">
        <v>72</v>
      </c>
      <c r="D103">
        <f>VLOOKUP(C103,Lookups!$E$2:$F$47,2,FALSE)</f>
        <v>0.6</v>
      </c>
      <c r="E103" s="30"/>
      <c r="F103" s="29" t="str">
        <f t="shared" si="36"/>
        <v/>
      </c>
      <c r="G103" t="str">
        <f>IF(F103="","",_xlfn.RANK.EQ(F103,$F$90:$F$103,1)+COUNTIF($F$90:F113,F103)-1)</f>
        <v/>
      </c>
      <c r="H103" s="19" t="str">
        <f t="shared" si="37"/>
        <v/>
      </c>
      <c r="I103" s="18" t="str">
        <f t="shared" si="38"/>
        <v/>
      </c>
      <c r="J103" s="17" t="str">
        <f t="shared" si="39"/>
        <v/>
      </c>
      <c r="K103" s="16" t="str">
        <f t="shared" si="40"/>
        <v>~</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03"/>
  <sheetViews>
    <sheetView topLeftCell="A34" zoomScale="90" zoomScaleNormal="90" workbookViewId="0">
      <selection activeCell="C58" sqref="C58"/>
    </sheetView>
  </sheetViews>
  <sheetFormatPr defaultRowHeight="15" x14ac:dyDescent="0.25"/>
  <cols>
    <col min="1" max="1" width="5.5703125" customWidth="1"/>
    <col min="2" max="2" width="21.5703125" customWidth="1"/>
    <col min="3" max="3" width="6.28515625" customWidth="1"/>
    <col min="4" max="4" width="6.42578125" customWidth="1"/>
    <col min="5" max="6" width="8.7109375" bestFit="1" customWidth="1"/>
    <col min="7" max="7" width="5.140625" customWidth="1"/>
    <col min="8" max="8" width="7.7109375" bestFit="1" customWidth="1"/>
    <col min="9" max="9" width="6.7109375" customWidth="1"/>
    <col min="10" max="10" width="6.85546875" customWidth="1"/>
    <col min="11" max="11" width="7.5703125" customWidth="1"/>
  </cols>
  <sheetData>
    <row r="2" spans="1:19" x14ac:dyDescent="0.25">
      <c r="E2" s="30">
        <v>7.829861111111111E-2</v>
      </c>
      <c r="F2" s="29">
        <f>E2*D7</f>
        <v>5.4809027777777776E-2</v>
      </c>
    </row>
    <row r="5" spans="1:19" x14ac:dyDescent="0.25">
      <c r="A5" t="s">
        <v>7</v>
      </c>
    </row>
    <row r="6" spans="1:19" ht="30" x14ac:dyDescent="0.25">
      <c r="A6" s="24" t="s">
        <v>8</v>
      </c>
      <c r="B6" s="24" t="s">
        <v>9</v>
      </c>
      <c r="C6" s="24" t="s">
        <v>10</v>
      </c>
      <c r="D6" s="24" t="s">
        <v>12</v>
      </c>
      <c r="E6" s="28" t="s">
        <v>95</v>
      </c>
      <c r="F6" s="24" t="s">
        <v>94</v>
      </c>
      <c r="G6" s="24" t="s">
        <v>8</v>
      </c>
      <c r="H6" s="23" t="s">
        <v>93</v>
      </c>
      <c r="I6" s="22" t="s">
        <v>92</v>
      </c>
      <c r="J6" s="21" t="s">
        <v>91</v>
      </c>
      <c r="K6" s="20" t="s">
        <v>90</v>
      </c>
    </row>
    <row r="7" spans="1:19" x14ac:dyDescent="0.25">
      <c r="A7">
        <v>1</v>
      </c>
      <c r="B7" t="s">
        <v>16</v>
      </c>
      <c r="C7" t="s">
        <v>17</v>
      </c>
      <c r="D7">
        <f>VLOOKUP(C7,Lookups!$E$2:$F$47,2,FALSE)</f>
        <v>0.7</v>
      </c>
      <c r="E7" s="30"/>
      <c r="F7" s="29" t="str">
        <f t="shared" ref="F7:F34" si="0">IF(E7="","",E7*D7)</f>
        <v/>
      </c>
      <c r="G7" t="str">
        <f>IF(F7="","",_xlfn.RANK.EQ(F7,$F$7:$F$34,1)+COUNTIF($F$7:F7,F7)-1)</f>
        <v/>
      </c>
      <c r="H7" s="19" t="str">
        <f t="shared" ref="H7:H34" si="1">IFERROR((1000+200*(AVERAGE($F$7:$F$34)-F7)/_xlfn.STDEV.P($F$7:$F$34)),"")</f>
        <v/>
      </c>
      <c r="I7" s="18" t="str">
        <f>IFERROR(((1000*SMALL($F$7:$F$34,1)/F7)),"")</f>
        <v/>
      </c>
      <c r="J7" s="17" t="str">
        <f t="shared" ref="J7:J34" si="2">IF(E7="","",IF(F7&gt;=2*SMALL($F$7:$F$34,1),0,1000-((F7-SMALL($F$7:$F$34,1))/SMALL($F$7:$F$34,1)*100)))</f>
        <v/>
      </c>
      <c r="K7" s="16" t="str">
        <f t="shared" ref="K7:K34" si="3">IFERROR((1000-MINUTE(F7-SMALL($F$7:$F$34,1))),"~")</f>
        <v>~</v>
      </c>
    </row>
    <row r="8" spans="1:19" x14ac:dyDescent="0.25">
      <c r="A8">
        <v>2</v>
      </c>
      <c r="B8" t="s">
        <v>20</v>
      </c>
      <c r="C8" t="s">
        <v>39</v>
      </c>
      <c r="D8">
        <f>VLOOKUP(C8,Lookups!$E$2:$F$47,2,FALSE)</f>
        <v>0.9</v>
      </c>
      <c r="E8" s="30">
        <v>3.5462962962962967E-2</v>
      </c>
      <c r="F8" s="29">
        <f t="shared" si="0"/>
        <v>3.191666666666667E-2</v>
      </c>
      <c r="G8">
        <f>IF(F8="","",_xlfn.RANK.EQ(F8,$F$7:$F$34,1)+COUNTIF($F$7:F8,F8)-1)</f>
        <v>3</v>
      </c>
      <c r="H8" s="19">
        <f t="shared" si="1"/>
        <v>1194.5685937992284</v>
      </c>
      <c r="I8" s="18">
        <f>IFERROR(((1000*SMALL($F$7:$F$34,1)/F8)),"")</f>
        <v>964.3276762402088</v>
      </c>
      <c r="J8" s="17">
        <f t="shared" si="2"/>
        <v>996.30080888076623</v>
      </c>
      <c r="K8" s="16">
        <f t="shared" si="3"/>
        <v>999</v>
      </c>
    </row>
    <row r="9" spans="1:19" x14ac:dyDescent="0.25">
      <c r="A9">
        <v>3</v>
      </c>
      <c r="B9" t="s">
        <v>3</v>
      </c>
      <c r="C9" t="s">
        <v>19</v>
      </c>
      <c r="D9">
        <f>VLOOKUP(C9,Lookups!$E$2:$F$47,2,FALSE)</f>
        <v>0.63</v>
      </c>
      <c r="E9" s="30">
        <v>4.8854166666666664E-2</v>
      </c>
      <c r="F9" s="29">
        <f t="shared" si="0"/>
        <v>3.0778125E-2</v>
      </c>
      <c r="G9">
        <f>IF(F9="","",_xlfn.RANK.EQ(F9,$F$7:$F$34,1)+COUNTIF($F$7:F9,F9)-1)</f>
        <v>1</v>
      </c>
      <c r="H9" s="19">
        <f t="shared" si="1"/>
        <v>1258.5206469145605</v>
      </c>
      <c r="I9" s="18">
        <f t="shared" ref="I9:I34" si="4">IFERROR(((1000*SMALL($F$7:$F$34,1)/F9)),"")</f>
        <v>1000</v>
      </c>
      <c r="J9" s="17">
        <f t="shared" si="2"/>
        <v>1000</v>
      </c>
      <c r="K9" s="16">
        <f t="shared" si="3"/>
        <v>1000</v>
      </c>
    </row>
    <row r="10" spans="1:19" x14ac:dyDescent="0.25">
      <c r="A10">
        <v>4</v>
      </c>
      <c r="B10" t="s">
        <v>23</v>
      </c>
      <c r="C10" t="s">
        <v>24</v>
      </c>
      <c r="D10">
        <f>VLOOKUP(C10,Lookups!$E$2:$F$47,2,FALSE)</f>
        <v>0.7</v>
      </c>
      <c r="E10" s="30"/>
      <c r="F10" s="29" t="str">
        <f t="shared" si="0"/>
        <v/>
      </c>
      <c r="G10" t="str">
        <f>IF(F10="","",_xlfn.RANK.EQ(F10,$F$7:$F$34,1)+COUNTIF($F$7:F10,F10)-1)</f>
        <v/>
      </c>
      <c r="H10" s="19" t="str">
        <f t="shared" si="1"/>
        <v/>
      </c>
      <c r="I10" s="18" t="str">
        <f t="shared" si="4"/>
        <v/>
      </c>
      <c r="J10" s="17" t="str">
        <f t="shared" si="2"/>
        <v/>
      </c>
      <c r="K10" s="16" t="str">
        <f t="shared" si="3"/>
        <v>~</v>
      </c>
      <c r="Q10" s="25"/>
    </row>
    <row r="11" spans="1:19" x14ac:dyDescent="0.25">
      <c r="A11">
        <v>5</v>
      </c>
      <c r="B11" t="s">
        <v>6</v>
      </c>
      <c r="C11" t="s">
        <v>19</v>
      </c>
      <c r="D11">
        <f>VLOOKUP(C11,Lookups!$E$2:$F$47,2,FALSE)</f>
        <v>0.63</v>
      </c>
      <c r="E11" s="30">
        <v>5.9803240740740747E-2</v>
      </c>
      <c r="F11" s="29">
        <f t="shared" si="0"/>
        <v>3.7676041666666674E-2</v>
      </c>
      <c r="G11">
        <f>IF(F11="","",_xlfn.RANK.EQ(F11,$F$7:$F$34,1)+COUNTIF($F$7:F11,F11)-1)</f>
        <v>6</v>
      </c>
      <c r="H11" s="19">
        <f t="shared" si="1"/>
        <v>871.06365173640097</v>
      </c>
      <c r="I11" s="18">
        <f t="shared" si="4"/>
        <v>816.91503773950046</v>
      </c>
      <c r="J11" s="17">
        <f t="shared" si="2"/>
        <v>977.58824923004022</v>
      </c>
      <c r="K11" s="16">
        <f t="shared" si="3"/>
        <v>991</v>
      </c>
      <c r="S11">
        <f t="shared" ref="S11:S17" ca="1" si="5">RANDBETWEEN(45,200)</f>
        <v>120</v>
      </c>
    </row>
    <row r="12" spans="1:19" x14ac:dyDescent="0.25">
      <c r="A12">
        <v>6</v>
      </c>
      <c r="B12" t="s">
        <v>0</v>
      </c>
      <c r="C12" t="s">
        <v>27</v>
      </c>
      <c r="D12">
        <f>VLOOKUP(C12,Lookups!$E$2:$F$47,2,FALSE)</f>
        <v>0.86</v>
      </c>
      <c r="E12" s="30">
        <v>4.0092592592592589E-2</v>
      </c>
      <c r="F12" s="29">
        <f t="shared" si="0"/>
        <v>3.4479629629629624E-2</v>
      </c>
      <c r="G12">
        <f>IF(F12="","",_xlfn.RANK.EQ(F12,$F$7:$F$34,1)+COUNTIF($F$7:F12,F12)-1)</f>
        <v>5</v>
      </c>
      <c r="H12" s="19">
        <f t="shared" si="1"/>
        <v>1050.6065866643391</v>
      </c>
      <c r="I12" s="18">
        <f t="shared" si="4"/>
        <v>892.6466244159194</v>
      </c>
      <c r="J12" s="17">
        <f t="shared" si="2"/>
        <v>987.97358633890258</v>
      </c>
      <c r="K12" s="16">
        <f t="shared" si="3"/>
        <v>995</v>
      </c>
      <c r="S12">
        <f t="shared" ca="1" si="5"/>
        <v>51</v>
      </c>
    </row>
    <row r="13" spans="1:19" x14ac:dyDescent="0.25">
      <c r="A13">
        <v>7</v>
      </c>
      <c r="B13" t="s">
        <v>5</v>
      </c>
      <c r="C13" t="s">
        <v>43</v>
      </c>
      <c r="D13">
        <f>VLOOKUP(C13,Lookups!$E$2:$F$47,2,FALSE)</f>
        <v>0.64</v>
      </c>
      <c r="E13" s="30">
        <v>6.3263888888888883E-2</v>
      </c>
      <c r="F13" s="29">
        <f t="shared" si="0"/>
        <v>4.0488888888888887E-2</v>
      </c>
      <c r="G13">
        <f>IF(F13="","",_xlfn.RANK.EQ(F13,$F$7:$F$34,1)+COUNTIF($F$7:F13,F13)-1)</f>
        <v>9</v>
      </c>
      <c r="H13" s="19">
        <f t="shared" si="1"/>
        <v>713.06560895283815</v>
      </c>
      <c r="I13" s="18">
        <f t="shared" si="4"/>
        <v>760.16225301866086</v>
      </c>
      <c r="J13" s="17">
        <f t="shared" si="2"/>
        <v>968.44913753229321</v>
      </c>
      <c r="K13" s="16">
        <f t="shared" si="3"/>
        <v>987</v>
      </c>
      <c r="S13">
        <f t="shared" ca="1" si="5"/>
        <v>118</v>
      </c>
    </row>
    <row r="14" spans="1:19" x14ac:dyDescent="0.25">
      <c r="A14">
        <v>8</v>
      </c>
      <c r="B14" t="s">
        <v>29</v>
      </c>
      <c r="C14" t="s">
        <v>39</v>
      </c>
      <c r="D14">
        <f>VLOOKUP(C14,Lookups!$E$2:$F$47,2,FALSE)</f>
        <v>0.9</v>
      </c>
      <c r="E14" s="30">
        <v>4.2256944444444444E-2</v>
      </c>
      <c r="F14" s="29">
        <f t="shared" si="0"/>
        <v>3.8031250000000003E-2</v>
      </c>
      <c r="G14">
        <f>IF(F14="","",_xlfn.RANK.EQ(F14,$F$7:$F$34,1)+COUNTIF($F$7:F14,F14)-1)</f>
        <v>7</v>
      </c>
      <c r="H14" s="19">
        <f t="shared" si="1"/>
        <v>851.11154733353919</v>
      </c>
      <c r="I14" s="18">
        <f t="shared" si="4"/>
        <v>809.28512736236644</v>
      </c>
      <c r="J14" s="17">
        <f t="shared" si="2"/>
        <v>976.43415575185293</v>
      </c>
      <c r="K14" s="16">
        <f t="shared" si="3"/>
        <v>990</v>
      </c>
      <c r="S14">
        <f t="shared" ca="1" si="5"/>
        <v>129</v>
      </c>
    </row>
    <row r="15" spans="1:19" x14ac:dyDescent="0.25">
      <c r="A15">
        <v>9</v>
      </c>
      <c r="B15" t="s">
        <v>30</v>
      </c>
      <c r="C15" t="s">
        <v>21</v>
      </c>
      <c r="D15">
        <f>VLOOKUP(C15,Lookups!$E$2:$F$47,2,FALSE)</f>
        <v>0.84</v>
      </c>
      <c r="E15" s="30">
        <v>4.7662037037037037E-2</v>
      </c>
      <c r="F15" s="29">
        <f t="shared" si="0"/>
        <v>4.0036111111111113E-2</v>
      </c>
      <c r="G15">
        <f>IF(F15="","",_xlfn.RANK.EQ(F15,$F$7:$F$34,1)+COUNTIF($F$7:F15,F15)-1)</f>
        <v>8</v>
      </c>
      <c r="H15" s="19">
        <f t="shared" si="1"/>
        <v>738.49820342139333</v>
      </c>
      <c r="I15" s="18">
        <f t="shared" si="4"/>
        <v>768.75910636231174</v>
      </c>
      <c r="J15" s="17">
        <f t="shared" si="2"/>
        <v>969.92024006949384</v>
      </c>
      <c r="K15" s="16">
        <f t="shared" si="3"/>
        <v>987</v>
      </c>
      <c r="S15">
        <f t="shared" ca="1" si="5"/>
        <v>169</v>
      </c>
    </row>
    <row r="16" spans="1:19" x14ac:dyDescent="0.25">
      <c r="A16">
        <v>10</v>
      </c>
      <c r="B16" t="s">
        <v>25</v>
      </c>
      <c r="C16" t="s">
        <v>26</v>
      </c>
      <c r="D16">
        <f>VLOOKUP(C16,Lookups!$E$2:$F$47,2,FALSE)</f>
        <v>0.67</v>
      </c>
      <c r="E16" s="30"/>
      <c r="F16" s="29" t="str">
        <f t="shared" si="0"/>
        <v/>
      </c>
      <c r="G16" t="str">
        <f>IF(F16="","",_xlfn.RANK.EQ(F16,$F$7:$F$34,1)+COUNTIF($F$7:F16,F16)-1)</f>
        <v/>
      </c>
      <c r="H16" s="19" t="str">
        <f t="shared" si="1"/>
        <v/>
      </c>
      <c r="I16" s="18" t="str">
        <f t="shared" si="4"/>
        <v/>
      </c>
      <c r="J16" s="17" t="str">
        <f t="shared" si="2"/>
        <v/>
      </c>
      <c r="K16" s="16" t="str">
        <f t="shared" si="3"/>
        <v>~</v>
      </c>
      <c r="S16">
        <f t="shared" ca="1" si="5"/>
        <v>86</v>
      </c>
    </row>
    <row r="17" spans="1:19" x14ac:dyDescent="0.25">
      <c r="A17">
        <v>11</v>
      </c>
      <c r="B17" t="s">
        <v>2</v>
      </c>
      <c r="C17" t="s">
        <v>31</v>
      </c>
      <c r="D17">
        <f>VLOOKUP(C17,Lookups!$E$2:$F$47,2,FALSE)</f>
        <v>0.82</v>
      </c>
      <c r="E17" s="30"/>
      <c r="F17" s="29" t="str">
        <f t="shared" si="0"/>
        <v/>
      </c>
      <c r="G17" t="str">
        <f>IF(F17="","",_xlfn.RANK.EQ(F17,$F$7:$F$34,1)+COUNTIF($F$7:F17,F17)-1)</f>
        <v/>
      </c>
      <c r="H17" s="19" t="str">
        <f t="shared" si="1"/>
        <v/>
      </c>
      <c r="I17" s="18" t="str">
        <f t="shared" si="4"/>
        <v/>
      </c>
      <c r="J17" s="17" t="str">
        <f t="shared" si="2"/>
        <v/>
      </c>
      <c r="K17" s="16" t="str">
        <f t="shared" si="3"/>
        <v>~</v>
      </c>
      <c r="S17">
        <f t="shared" ca="1" si="5"/>
        <v>83</v>
      </c>
    </row>
    <row r="18" spans="1:19" x14ac:dyDescent="0.25">
      <c r="B18" t="s">
        <v>102</v>
      </c>
      <c r="C18" t="s">
        <v>103</v>
      </c>
      <c r="D18">
        <f>VLOOKUP(C18,Lookups!$E$2:$F$47,2,FALSE)</f>
        <v>0.92</v>
      </c>
      <c r="E18" s="30"/>
      <c r="F18" s="29" t="str">
        <f t="shared" ref="F18" si="6">IF(E18="","",E18*D18)</f>
        <v/>
      </c>
      <c r="G18" t="str">
        <f>IF(F18="","",_xlfn.RANK.EQ(F18,$F$7:$F$34,1)+COUNTIF($F$7:F18,F18)-1)</f>
        <v/>
      </c>
      <c r="H18" s="19" t="str">
        <f t="shared" ref="H18" si="7">IFERROR((1000+200*(AVERAGE($F$7:$F$34)-F18)/_xlfn.STDEV.P($F$7:$F$34)),"")</f>
        <v/>
      </c>
      <c r="I18" s="18" t="str">
        <f t="shared" ref="I18" si="8">IFERROR(((1000*SMALL($F$7:$F$34,1)/F18)),"")</f>
        <v/>
      </c>
      <c r="J18" s="17" t="str">
        <f t="shared" ref="J18" si="9">IF(E18="","",IF(F18&gt;=2*SMALL($F$7:$F$34,1),0,1000-((F18-SMALL($F$7:$F$34,1))/SMALL($F$7:$F$34,1)*100)))</f>
        <v/>
      </c>
      <c r="K18" s="16" t="str">
        <f t="shared" ref="K18" si="10">IFERROR((1000-MINUTE(F18-SMALL($F$7:$F$34,1))),"~")</f>
        <v>~</v>
      </c>
    </row>
    <row r="19" spans="1:19" x14ac:dyDescent="0.25">
      <c r="A19">
        <v>12</v>
      </c>
      <c r="B19" t="s">
        <v>32</v>
      </c>
      <c r="C19" t="s">
        <v>27</v>
      </c>
      <c r="D19">
        <f>VLOOKUP(C19,Lookups!$E$2:$F$47,2,FALSE)</f>
        <v>0.86</v>
      </c>
      <c r="E19" s="30"/>
      <c r="F19" s="29" t="str">
        <f t="shared" si="0"/>
        <v/>
      </c>
      <c r="G19" t="str">
        <f>IF(F19="","",_xlfn.RANK.EQ(F19,$F$7:$F$34,1)+COUNTIF($F$7:F19,F19)-1)</f>
        <v/>
      </c>
      <c r="H19" s="19" t="str">
        <f t="shared" si="1"/>
        <v/>
      </c>
      <c r="I19" s="18" t="str">
        <f t="shared" si="4"/>
        <v/>
      </c>
      <c r="J19" s="17" t="str">
        <f t="shared" si="2"/>
        <v/>
      </c>
      <c r="K19" s="16" t="str">
        <f t="shared" si="3"/>
        <v>~</v>
      </c>
    </row>
    <row r="20" spans="1:19" x14ac:dyDescent="0.25">
      <c r="A20">
        <v>13</v>
      </c>
      <c r="B20" t="s">
        <v>33</v>
      </c>
      <c r="C20" t="s">
        <v>34</v>
      </c>
      <c r="D20">
        <f>VLOOKUP(C20,Lookups!$E$2:$F$47,2,FALSE)</f>
        <v>0.8</v>
      </c>
      <c r="E20" s="30">
        <v>4.2303240740740738E-2</v>
      </c>
      <c r="F20" s="29">
        <f t="shared" si="0"/>
        <v>3.3842592592592591E-2</v>
      </c>
      <c r="G20">
        <f>IF(F20="","",_xlfn.RANK.EQ(F20,$F$7:$F$34,1)+COUNTIF($F$7:F20,F20)-1)</f>
        <v>4</v>
      </c>
      <c r="H20" s="19">
        <f t="shared" si="1"/>
        <v>1086.3890508654965</v>
      </c>
      <c r="I20" s="18">
        <f t="shared" si="4"/>
        <v>909.44938440492479</v>
      </c>
      <c r="J20" s="17">
        <f t="shared" si="2"/>
        <v>990.043358415782</v>
      </c>
      <c r="K20" s="16">
        <f t="shared" si="3"/>
        <v>996</v>
      </c>
    </row>
    <row r="21" spans="1:19" x14ac:dyDescent="0.25">
      <c r="A21">
        <v>14</v>
      </c>
      <c r="B21" t="s">
        <v>35</v>
      </c>
      <c r="C21" t="s">
        <v>59</v>
      </c>
      <c r="D21">
        <f>VLOOKUP(C21,Lookups!$E$2:$F$47,2,FALSE)</f>
        <v>0.77</v>
      </c>
      <c r="E21" s="30"/>
      <c r="F21" s="29" t="str">
        <f t="shared" si="0"/>
        <v/>
      </c>
      <c r="G21" t="str">
        <f>IF(F21="","",_xlfn.RANK.EQ(F21,$F$7:$F$34,1)+COUNTIF($F$7:F21,F21)-1)</f>
        <v/>
      </c>
      <c r="H21" s="19" t="str">
        <f t="shared" si="1"/>
        <v/>
      </c>
      <c r="I21" s="18" t="str">
        <f t="shared" si="4"/>
        <v/>
      </c>
      <c r="J21" s="17" t="str">
        <f t="shared" si="2"/>
        <v/>
      </c>
      <c r="K21" s="16" t="str">
        <f t="shared" si="3"/>
        <v>~</v>
      </c>
    </row>
    <row r="22" spans="1:19" x14ac:dyDescent="0.25">
      <c r="A22">
        <v>15</v>
      </c>
      <c r="B22" t="s">
        <v>37</v>
      </c>
      <c r="C22" t="s">
        <v>27</v>
      </c>
      <c r="D22">
        <f>VLOOKUP(C22,Lookups!$E$2:$F$47,2,FALSE)</f>
        <v>0.86</v>
      </c>
      <c r="E22" s="30"/>
      <c r="F22" s="29" t="str">
        <f t="shared" si="0"/>
        <v/>
      </c>
      <c r="G22" t="str">
        <f>IF(F22="","",_xlfn.RANK.EQ(F22,$F$7:$F$34,1)+COUNTIF($F$7:F22,F22)-1)</f>
        <v/>
      </c>
      <c r="H22" s="19" t="str">
        <f t="shared" si="1"/>
        <v/>
      </c>
      <c r="I22" s="18" t="str">
        <f t="shared" si="4"/>
        <v/>
      </c>
      <c r="J22" s="17" t="str">
        <f t="shared" si="2"/>
        <v/>
      </c>
      <c r="K22" s="16" t="str">
        <f t="shared" si="3"/>
        <v>~</v>
      </c>
    </row>
    <row r="23" spans="1:19" x14ac:dyDescent="0.25">
      <c r="A23">
        <v>16</v>
      </c>
      <c r="B23" t="s">
        <v>38</v>
      </c>
      <c r="C23" t="s">
        <v>39</v>
      </c>
      <c r="D23">
        <f>VLOOKUP(C23,Lookups!$E$2:$F$47,2,FALSE)</f>
        <v>0.9</v>
      </c>
      <c r="E23" s="30"/>
      <c r="F23" s="29" t="str">
        <f t="shared" si="0"/>
        <v/>
      </c>
      <c r="G23" t="str">
        <f>IF(F23="","",_xlfn.RANK.EQ(F23,$F$7:$F$34,1)+COUNTIF($F$7:F23,F23)-1)</f>
        <v/>
      </c>
      <c r="H23" s="19" t="str">
        <f t="shared" si="1"/>
        <v/>
      </c>
      <c r="I23" s="18" t="str">
        <f t="shared" si="4"/>
        <v/>
      </c>
      <c r="J23" s="17" t="str">
        <f t="shared" si="2"/>
        <v/>
      </c>
      <c r="K23" s="16" t="str">
        <f t="shared" si="3"/>
        <v>~</v>
      </c>
    </row>
    <row r="24" spans="1:19" x14ac:dyDescent="0.25">
      <c r="A24">
        <v>17</v>
      </c>
      <c r="B24" t="s">
        <v>1</v>
      </c>
      <c r="C24" t="s">
        <v>36</v>
      </c>
      <c r="D24">
        <f>VLOOKUP(C24,Lookups!$E$2:$F$47,2,FALSE)</f>
        <v>0.56999999999999995</v>
      </c>
      <c r="E24" s="30"/>
      <c r="F24" s="29" t="str">
        <f t="shared" si="0"/>
        <v/>
      </c>
      <c r="G24" t="str">
        <f>IF(F24="","",_xlfn.RANK.EQ(F24,$F$7:$F$34,1)+COUNTIF($F$7:F24,F24)-1)</f>
        <v/>
      </c>
      <c r="H24" s="19" t="str">
        <f t="shared" si="1"/>
        <v/>
      </c>
      <c r="I24" s="18" t="str">
        <f t="shared" si="4"/>
        <v/>
      </c>
      <c r="J24" s="17" t="str">
        <f t="shared" si="2"/>
        <v/>
      </c>
      <c r="K24" s="16" t="str">
        <f t="shared" si="3"/>
        <v>~</v>
      </c>
    </row>
    <row r="25" spans="1:19" x14ac:dyDescent="0.25">
      <c r="A25">
        <v>18</v>
      </c>
      <c r="B25" t="s">
        <v>40</v>
      </c>
      <c r="C25" t="s">
        <v>17</v>
      </c>
      <c r="D25">
        <f>VLOOKUP(C25,Lookups!$E$2:$F$47,2,FALSE)</f>
        <v>0.7</v>
      </c>
      <c r="E25" s="30">
        <v>4.4537037037037042E-2</v>
      </c>
      <c r="F25" s="29">
        <f t="shared" si="0"/>
        <v>3.1175925925925926E-2</v>
      </c>
      <c r="G25">
        <f>IF(F25="","",_xlfn.RANK.EQ(F25,$F$7:$F$34,1)+COUNTIF($F$7:F25,F25)-1)</f>
        <v>2</v>
      </c>
      <c r="H25" s="19">
        <f t="shared" si="1"/>
        <v>1236.1761103122026</v>
      </c>
      <c r="I25" s="18">
        <f t="shared" si="4"/>
        <v>987.24012474012466</v>
      </c>
      <c r="J25" s="17">
        <f t="shared" si="2"/>
        <v>998.70752059806784</v>
      </c>
      <c r="K25" s="16">
        <f t="shared" si="3"/>
        <v>1000</v>
      </c>
    </row>
    <row r="26" spans="1:19" x14ac:dyDescent="0.25">
      <c r="A26">
        <v>19</v>
      </c>
      <c r="B26" t="s">
        <v>41</v>
      </c>
      <c r="C26" t="s">
        <v>17</v>
      </c>
      <c r="D26">
        <f>VLOOKUP(C26,Lookups!$E$2:$F$47,2,FALSE)</f>
        <v>0.7</v>
      </c>
      <c r="E26" s="30"/>
      <c r="F26" s="29" t="str">
        <f t="shared" si="0"/>
        <v/>
      </c>
      <c r="G26" t="str">
        <f>IF(F26="","",_xlfn.RANK.EQ(F26,$F$7:$F$34,1)+COUNTIF($F$7:F26,F26)-1)</f>
        <v/>
      </c>
      <c r="H26" s="19" t="str">
        <f t="shared" si="1"/>
        <v/>
      </c>
      <c r="I26" s="18" t="str">
        <f t="shared" si="4"/>
        <v/>
      </c>
      <c r="J26" s="17" t="str">
        <f t="shared" si="2"/>
        <v/>
      </c>
      <c r="K26" s="16" t="str">
        <f t="shared" si="3"/>
        <v>~</v>
      </c>
    </row>
    <row r="27" spans="1:19" x14ac:dyDescent="0.25">
      <c r="A27">
        <v>20</v>
      </c>
      <c r="B27" t="s">
        <v>44</v>
      </c>
      <c r="C27" t="s">
        <v>45</v>
      </c>
      <c r="D27">
        <f>VLOOKUP(C27,Lookups!$E$2:$F$47,2,FALSE)</f>
        <v>0.67</v>
      </c>
      <c r="E27" s="30"/>
      <c r="F27" s="29" t="str">
        <f t="shared" si="0"/>
        <v/>
      </c>
      <c r="G27" t="str">
        <f>IF(F27="","",_xlfn.RANK.EQ(F27,$F$7:$F$34,1)+COUNTIF($F$7:F27,F27)-1)</f>
        <v/>
      </c>
      <c r="H27" s="19" t="str">
        <f t="shared" si="1"/>
        <v/>
      </c>
      <c r="I27" s="18" t="str">
        <f t="shared" si="4"/>
        <v/>
      </c>
      <c r="J27" s="17" t="str">
        <f t="shared" si="2"/>
        <v/>
      </c>
      <c r="K27" s="16" t="str">
        <f t="shared" si="3"/>
        <v>~</v>
      </c>
    </row>
    <row r="28" spans="1:19" x14ac:dyDescent="0.25">
      <c r="A28">
        <v>20</v>
      </c>
      <c r="B28" t="s">
        <v>42</v>
      </c>
      <c r="C28" t="s">
        <v>43</v>
      </c>
      <c r="D28">
        <f>VLOOKUP(C28,Lookups!$E$2:$F$47,2,FALSE)</f>
        <v>0.64</v>
      </c>
      <c r="E28" s="30"/>
      <c r="F28" s="29" t="str">
        <f t="shared" si="0"/>
        <v/>
      </c>
      <c r="G28" t="str">
        <f>IF(F28="","",_xlfn.RANK.EQ(F28,$F$7:$F$34,1)+COUNTIF($F$7:F28,F28)-1)</f>
        <v/>
      </c>
      <c r="H28" s="19" t="str">
        <f t="shared" si="1"/>
        <v/>
      </c>
      <c r="I28" s="18" t="str">
        <f t="shared" si="4"/>
        <v/>
      </c>
      <c r="J28" s="17" t="str">
        <f t="shared" si="2"/>
        <v/>
      </c>
      <c r="K28" s="16" t="str">
        <f t="shared" si="3"/>
        <v>~</v>
      </c>
    </row>
    <row r="29" spans="1:19" x14ac:dyDescent="0.25">
      <c r="A29">
        <v>22</v>
      </c>
      <c r="B29" t="s">
        <v>106</v>
      </c>
      <c r="C29" t="s">
        <v>45</v>
      </c>
      <c r="D29">
        <f>VLOOKUP(C29,Lookups!$E$2:$F$47,2,FALSE)</f>
        <v>0.67</v>
      </c>
      <c r="E29" s="30"/>
      <c r="F29" s="29" t="str">
        <f t="shared" si="0"/>
        <v/>
      </c>
      <c r="G29" t="str">
        <f>IF(F29="","",_xlfn.RANK.EQ(F29,$F$7:$F$34,1)+COUNTIF($F$7:F29,F29)-1)</f>
        <v/>
      </c>
      <c r="H29" s="19" t="str">
        <f t="shared" si="1"/>
        <v/>
      </c>
      <c r="I29" s="18" t="str">
        <f t="shared" si="4"/>
        <v/>
      </c>
      <c r="J29" s="17" t="str">
        <f t="shared" si="2"/>
        <v/>
      </c>
      <c r="K29" s="16" t="str">
        <f t="shared" si="3"/>
        <v>~</v>
      </c>
    </row>
    <row r="30" spans="1:19" x14ac:dyDescent="0.25">
      <c r="A30">
        <v>23</v>
      </c>
      <c r="B30" t="s">
        <v>46</v>
      </c>
      <c r="C30" t="s">
        <v>47</v>
      </c>
      <c r="D30">
        <f>VLOOKUP(C30,Lookups!$E$2:$F$47,2,FALSE)</f>
        <v>0.8</v>
      </c>
      <c r="E30" s="30"/>
      <c r="F30" s="29" t="str">
        <f t="shared" si="0"/>
        <v/>
      </c>
      <c r="G30" t="str">
        <f>IF(F30="","",_xlfn.RANK.EQ(F30,$F$7:$F$34,1)+COUNTIF($F$7:F30,F30)-1)</f>
        <v/>
      </c>
      <c r="H30" s="19" t="str">
        <f t="shared" si="1"/>
        <v/>
      </c>
      <c r="I30" s="18" t="str">
        <f t="shared" si="4"/>
        <v/>
      </c>
      <c r="J30" s="17" t="str">
        <f t="shared" si="2"/>
        <v/>
      </c>
      <c r="K30" s="16" t="str">
        <f t="shared" si="3"/>
        <v>~</v>
      </c>
    </row>
    <row r="31" spans="1:19" x14ac:dyDescent="0.25">
      <c r="A31">
        <v>24</v>
      </c>
      <c r="B31" t="s">
        <v>48</v>
      </c>
      <c r="C31" t="s">
        <v>49</v>
      </c>
      <c r="D31">
        <f>VLOOKUP(C31,Lookups!$E$2:$F$47,2,FALSE)</f>
        <v>0.7</v>
      </c>
      <c r="E31" s="30"/>
      <c r="F31" s="29" t="str">
        <f t="shared" si="0"/>
        <v/>
      </c>
      <c r="G31" t="str">
        <f>IF(F31="","",_xlfn.RANK.EQ(F31,$F$7:$F$34,1)+COUNTIF($F$7:F31,F31)-1)</f>
        <v/>
      </c>
      <c r="H31" s="19" t="str">
        <f t="shared" si="1"/>
        <v/>
      </c>
      <c r="I31" s="18" t="str">
        <f t="shared" si="4"/>
        <v/>
      </c>
      <c r="J31" s="17" t="str">
        <f t="shared" si="2"/>
        <v/>
      </c>
      <c r="K31" s="16" t="str">
        <f t="shared" si="3"/>
        <v>~</v>
      </c>
    </row>
    <row r="32" spans="1:19" x14ac:dyDescent="0.25">
      <c r="A32">
        <v>25</v>
      </c>
      <c r="B32" t="s">
        <v>50</v>
      </c>
      <c r="C32" t="s">
        <v>27</v>
      </c>
      <c r="D32">
        <f>VLOOKUP(C32,Lookups!$E$2:$F$47,2,FALSE)</f>
        <v>0.86</v>
      </c>
      <c r="E32" s="30"/>
      <c r="F32" s="29" t="str">
        <f t="shared" si="0"/>
        <v/>
      </c>
      <c r="G32" t="str">
        <f>IF(F32="","",_xlfn.RANK.EQ(F32,$F$7:$F$34,1)+COUNTIF($F$7:F32,F32)-1)</f>
        <v/>
      </c>
      <c r="H32" s="19" t="str">
        <f t="shared" si="1"/>
        <v/>
      </c>
      <c r="I32" s="18" t="str">
        <f t="shared" si="4"/>
        <v/>
      </c>
      <c r="J32" s="17" t="str">
        <f t="shared" si="2"/>
        <v/>
      </c>
      <c r="K32" s="16" t="str">
        <f t="shared" si="3"/>
        <v>~</v>
      </c>
    </row>
    <row r="33" spans="1:11" x14ac:dyDescent="0.25">
      <c r="A33">
        <v>26</v>
      </c>
      <c r="B33" t="s">
        <v>57</v>
      </c>
      <c r="C33" t="s">
        <v>49</v>
      </c>
      <c r="D33">
        <f>VLOOKUP(C33,Lookups!$E$2:$F$47,2,FALSE)</f>
        <v>0.7</v>
      </c>
      <c r="E33" s="30"/>
      <c r="F33" s="29" t="str">
        <f t="shared" si="0"/>
        <v/>
      </c>
      <c r="G33" t="str">
        <f>IF(F33="","",_xlfn.RANK.EQ(F33,$F$7:$F$34,1)+COUNTIF($F$7:F33,F33)-1)</f>
        <v/>
      </c>
      <c r="H33" s="19" t="str">
        <f t="shared" si="1"/>
        <v/>
      </c>
      <c r="I33" s="18" t="str">
        <f t="shared" si="4"/>
        <v/>
      </c>
      <c r="J33" s="17" t="str">
        <f t="shared" si="2"/>
        <v/>
      </c>
      <c r="K33" s="16" t="str">
        <f t="shared" si="3"/>
        <v>~</v>
      </c>
    </row>
    <row r="34" spans="1:11" x14ac:dyDescent="0.25">
      <c r="A34">
        <v>27</v>
      </c>
      <c r="B34" t="s">
        <v>55</v>
      </c>
      <c r="C34" t="s">
        <v>45</v>
      </c>
      <c r="D34">
        <f>VLOOKUP(C34,Lookups!$E$2:$F$47,2,FALSE)</f>
        <v>0.67</v>
      </c>
      <c r="E34" s="30"/>
      <c r="F34" s="29" t="str">
        <f t="shared" si="0"/>
        <v/>
      </c>
      <c r="G34" t="str">
        <f>IF(F34="","",_xlfn.RANK.EQ(F34,$F$7:$F$34,1)+COUNTIF($F$7:F34,F34)-1)</f>
        <v/>
      </c>
      <c r="H34" s="19" t="str">
        <f t="shared" si="1"/>
        <v/>
      </c>
      <c r="I34" s="18" t="str">
        <f t="shared" si="4"/>
        <v/>
      </c>
      <c r="J34" s="17" t="str">
        <f t="shared" si="2"/>
        <v/>
      </c>
      <c r="K34" s="16" t="str">
        <f t="shared" si="3"/>
        <v>~</v>
      </c>
    </row>
    <row r="35" spans="1:11" x14ac:dyDescent="0.25">
      <c r="E35" s="26"/>
    </row>
    <row r="36" spans="1:11" x14ac:dyDescent="0.25">
      <c r="A36" t="s">
        <v>53</v>
      </c>
      <c r="E36" s="26"/>
    </row>
    <row r="37" spans="1:11" ht="30" x14ac:dyDescent="0.25">
      <c r="A37" t="s">
        <v>8</v>
      </c>
      <c r="B37" t="s">
        <v>9</v>
      </c>
      <c r="C37" t="s">
        <v>10</v>
      </c>
      <c r="D37" t="s">
        <v>54</v>
      </c>
      <c r="E37" s="27" t="s">
        <v>95</v>
      </c>
      <c r="F37" s="24" t="s">
        <v>94</v>
      </c>
      <c r="G37" s="24" t="s">
        <v>8</v>
      </c>
      <c r="H37" s="23" t="s">
        <v>93</v>
      </c>
      <c r="I37" s="22" t="s">
        <v>92</v>
      </c>
      <c r="J37" s="21" t="s">
        <v>91</v>
      </c>
      <c r="K37" s="20" t="s">
        <v>90</v>
      </c>
    </row>
    <row r="38" spans="1:11" x14ac:dyDescent="0.25">
      <c r="A38">
        <v>1</v>
      </c>
      <c r="B38" t="s">
        <v>55</v>
      </c>
      <c r="C38" t="s">
        <v>56</v>
      </c>
      <c r="D38">
        <f>VLOOKUP(C38,Lookups!$E$2:$F$47,2,FALSE)</f>
        <v>0.65</v>
      </c>
      <c r="E38" s="30"/>
      <c r="F38" s="29" t="str">
        <f>IF(E38="","",E38*D38)</f>
        <v/>
      </c>
      <c r="G38" t="str">
        <f>IF(F38="","",_xlfn.RANK.EQ(F38,$F$38:$F$61,1)+COUNTIF($F$38:F61,F38)-1)</f>
        <v/>
      </c>
      <c r="H38" s="19" t="str">
        <f t="shared" ref="H38:H61" si="11">IFERROR((1000+200*(AVERAGE($F$38:$F$61)-F38)/_xlfn.STDEV.P($F$38:$F$61)),"")</f>
        <v/>
      </c>
      <c r="I38" s="18" t="str">
        <f t="shared" ref="I38:I61" si="12">IFERROR(((1000*SMALL($F$38:$F$61,1)/F38)),"")</f>
        <v/>
      </c>
      <c r="J38" s="17" t="str">
        <f t="shared" ref="J38:J61" si="13">IF(E38="","",IF(F38&gt;=2*SMALL($F$38:$F$61,1),0,1000-((F38-SMALL($F$7:$F$61,1))/SMALL($F$38:$F$61,1)*100)))</f>
        <v/>
      </c>
      <c r="K38" s="16" t="str">
        <f>IFERROR((1000-MINUTE(F38-SMALL($F$38:$F$61,1))),"~")</f>
        <v>~</v>
      </c>
    </row>
    <row r="39" spans="1:11" x14ac:dyDescent="0.25">
      <c r="A39">
        <v>2</v>
      </c>
      <c r="B39" t="s">
        <v>57</v>
      </c>
      <c r="C39" t="s">
        <v>49</v>
      </c>
      <c r="D39">
        <f>VLOOKUP(C39,Lookups!$E$2:$F$47,2,FALSE)</f>
        <v>0.7</v>
      </c>
      <c r="E39" s="30">
        <v>2.9629629629629627E-2</v>
      </c>
      <c r="F39" s="29">
        <f>IF(E39="","",E39*D39)</f>
        <v>2.0740740740740737E-2</v>
      </c>
      <c r="G39">
        <f>IF(F39="","",_xlfn.RANK.EQ(F39,$F$38:$F$61,1)+COUNTIF($F$38:F62,F39)-1)</f>
        <v>1</v>
      </c>
      <c r="H39" s="19">
        <f t="shared" si="11"/>
        <v>1311.7930900089714</v>
      </c>
      <c r="I39" s="18">
        <f t="shared" si="12"/>
        <v>1000</v>
      </c>
      <c r="J39" s="17">
        <f t="shared" si="13"/>
        <v>1000</v>
      </c>
      <c r="K39" s="16">
        <f t="shared" ref="K39:K61" si="14">IFERROR((1000-MINUTE(F39-SMALL($F$38:$F$61,1))),"~")</f>
        <v>1000</v>
      </c>
    </row>
    <row r="40" spans="1:11" x14ac:dyDescent="0.25">
      <c r="A40">
        <v>3</v>
      </c>
      <c r="B40" t="s">
        <v>111</v>
      </c>
      <c r="C40" t="s">
        <v>39</v>
      </c>
      <c r="D40">
        <f>VLOOKUP(C40,Lookups!$E$2:$F$47,2,FALSE)</f>
        <v>0.9</v>
      </c>
      <c r="E40" s="30"/>
      <c r="F40" s="29" t="str">
        <f t="shared" ref="F40:F61" si="15">IF(E40="","",E40*D40)</f>
        <v/>
      </c>
      <c r="G40" t="str">
        <f>IF(F40="","",_xlfn.RANK.EQ(F40,$F$38:$F$61,1)+COUNTIF($F$38:F63,F40)-1)</f>
        <v/>
      </c>
      <c r="H40" s="19" t="str">
        <f t="shared" si="11"/>
        <v/>
      </c>
      <c r="I40" s="18" t="str">
        <f t="shared" si="12"/>
        <v/>
      </c>
      <c r="J40" s="17" t="str">
        <f t="shared" si="13"/>
        <v/>
      </c>
      <c r="K40" s="16" t="str">
        <f t="shared" si="14"/>
        <v>~</v>
      </c>
    </row>
    <row r="41" spans="1:11" x14ac:dyDescent="0.25">
      <c r="A41">
        <v>4</v>
      </c>
      <c r="B41" t="s">
        <v>102</v>
      </c>
      <c r="C41" t="s">
        <v>103</v>
      </c>
      <c r="D41">
        <f>VLOOKUP(C41,Lookups!$E$2:$F$47,2,FALSE)</f>
        <v>0.92</v>
      </c>
      <c r="E41" s="30">
        <v>3.229166666666667E-2</v>
      </c>
      <c r="F41" s="29">
        <f t="shared" si="15"/>
        <v>2.9708333333333337E-2</v>
      </c>
      <c r="G41">
        <f>IF(F41="","",_xlfn.RANK.EQ(F41,$F$38:$F$61,1)+COUNTIF($F$38:F64,F41)-1)</f>
        <v>2</v>
      </c>
      <c r="H41" s="19">
        <f t="shared" si="11"/>
        <v>1024.2695406886296</v>
      </c>
      <c r="I41" s="18">
        <f t="shared" si="12"/>
        <v>698.14555088047359</v>
      </c>
      <c r="J41" s="17">
        <f t="shared" si="13"/>
        <v>956.76339285714278</v>
      </c>
      <c r="K41" s="16">
        <f t="shared" si="14"/>
        <v>988</v>
      </c>
    </row>
    <row r="42" spans="1:11" x14ac:dyDescent="0.25">
      <c r="A42">
        <v>5</v>
      </c>
      <c r="B42" t="s">
        <v>116</v>
      </c>
      <c r="C42" t="s">
        <v>117</v>
      </c>
      <c r="D42">
        <f>VLOOKUP(C42,Lookups!$E$2:$F$47,2,FALSE)</f>
        <v>0.89</v>
      </c>
      <c r="E42" s="30"/>
      <c r="F42" s="29" t="str">
        <f t="shared" si="15"/>
        <v/>
      </c>
      <c r="G42" t="str">
        <f>IF(F42="","",_xlfn.RANK.EQ(F42,$F$38:$F$61,1)+COUNTIF($F$38:F65,F42)-1)</f>
        <v/>
      </c>
      <c r="H42" s="19" t="str">
        <f t="shared" si="11"/>
        <v/>
      </c>
      <c r="I42" s="18" t="str">
        <f t="shared" si="12"/>
        <v/>
      </c>
      <c r="J42" s="17" t="str">
        <f t="shared" si="13"/>
        <v/>
      </c>
      <c r="K42" s="16" t="str">
        <f t="shared" si="14"/>
        <v>~</v>
      </c>
    </row>
    <row r="43" spans="1:11" x14ac:dyDescent="0.25">
      <c r="A43">
        <v>6</v>
      </c>
      <c r="B43" t="s">
        <v>44</v>
      </c>
      <c r="C43" t="s">
        <v>45</v>
      </c>
      <c r="D43">
        <f>VLOOKUP(C43,Lookups!$E$2:$F$47,2,FALSE)</f>
        <v>0.67</v>
      </c>
      <c r="E43" s="30"/>
      <c r="F43" s="29" t="str">
        <f t="shared" si="15"/>
        <v/>
      </c>
      <c r="G43" t="str">
        <f>IF(F43="","",_xlfn.RANK.EQ(F43,$F$38:$F$61,1)+COUNTIF($F$38:F66,F43)-1)</f>
        <v/>
      </c>
      <c r="H43" s="19" t="str">
        <f t="shared" si="11"/>
        <v/>
      </c>
      <c r="I43" s="18" t="str">
        <f t="shared" si="12"/>
        <v/>
      </c>
      <c r="J43" s="17" t="str">
        <f t="shared" si="13"/>
        <v/>
      </c>
      <c r="K43" s="16" t="str">
        <f t="shared" si="14"/>
        <v>~</v>
      </c>
    </row>
    <row r="44" spans="1:11" x14ac:dyDescent="0.25">
      <c r="A44">
        <v>7</v>
      </c>
      <c r="B44" t="s">
        <v>115</v>
      </c>
      <c r="C44" t="s">
        <v>47</v>
      </c>
      <c r="D44">
        <f>VLOOKUP(C44,Lookups!$E$2:$F$47,2,FALSE)</f>
        <v>0.8</v>
      </c>
      <c r="E44" s="30"/>
      <c r="F44" s="29" t="str">
        <f t="shared" si="15"/>
        <v/>
      </c>
      <c r="G44" t="str">
        <f>IF(F44="","",_xlfn.RANK.EQ(F44,$F$38:$F$61,1)+COUNTIF($F$38:F67,F44)-1)</f>
        <v/>
      </c>
      <c r="H44" s="19" t="str">
        <f t="shared" si="11"/>
        <v/>
      </c>
      <c r="I44" s="18" t="str">
        <f t="shared" si="12"/>
        <v/>
      </c>
      <c r="J44" s="17" t="str">
        <f t="shared" si="13"/>
        <v/>
      </c>
      <c r="K44" s="16" t="str">
        <f t="shared" si="14"/>
        <v>~</v>
      </c>
    </row>
    <row r="45" spans="1:11" x14ac:dyDescent="0.25">
      <c r="A45">
        <v>8</v>
      </c>
      <c r="B45" t="s">
        <v>118</v>
      </c>
      <c r="C45" t="s">
        <v>47</v>
      </c>
      <c r="D45">
        <f>VLOOKUP(C45,Lookups!$E$2:$F$47,2,FALSE)</f>
        <v>0.8</v>
      </c>
      <c r="E45" s="30"/>
      <c r="F45" s="29" t="str">
        <f t="shared" si="15"/>
        <v/>
      </c>
      <c r="G45" t="str">
        <f>IF(F45="","",_xlfn.RANK.EQ(F45,$F$38:$F$61,1)+COUNTIF($F$38:F68,F45)-1)</f>
        <v/>
      </c>
      <c r="H45" s="19" t="str">
        <f t="shared" si="11"/>
        <v/>
      </c>
      <c r="I45" s="18" t="str">
        <f t="shared" si="12"/>
        <v/>
      </c>
      <c r="J45" s="17" t="str">
        <f t="shared" si="13"/>
        <v/>
      </c>
      <c r="K45" s="16" t="str">
        <f t="shared" si="14"/>
        <v>~</v>
      </c>
    </row>
    <row r="46" spans="1:11" x14ac:dyDescent="0.25">
      <c r="A46">
        <v>9</v>
      </c>
      <c r="B46" t="s">
        <v>124</v>
      </c>
      <c r="C46" t="s">
        <v>34</v>
      </c>
      <c r="D46">
        <f>VLOOKUP(C46,Lookups!$E$2:$F$47,2,FALSE)</f>
        <v>0.8</v>
      </c>
      <c r="E46" s="30"/>
      <c r="F46" s="29" t="str">
        <f t="shared" si="15"/>
        <v/>
      </c>
      <c r="G46" t="str">
        <f>IF(F46="","",_xlfn.RANK.EQ(F46,$F$38:$F$61,1)+COUNTIF($F$38:F77,F46)-1)</f>
        <v/>
      </c>
      <c r="H46" s="19" t="str">
        <f t="shared" si="11"/>
        <v/>
      </c>
      <c r="I46" s="18" t="str">
        <f t="shared" si="12"/>
        <v/>
      </c>
      <c r="J46" s="17" t="str">
        <f t="shared" si="13"/>
        <v/>
      </c>
      <c r="K46" s="16" t="str">
        <f t="shared" si="14"/>
        <v>~</v>
      </c>
    </row>
    <row r="47" spans="1:11" x14ac:dyDescent="0.25">
      <c r="B47" t="s">
        <v>112</v>
      </c>
      <c r="C47" t="s">
        <v>17</v>
      </c>
      <c r="D47">
        <f>VLOOKUP(C47,Lookups!$E$2:$F$47,2,FALSE)</f>
        <v>0.7</v>
      </c>
      <c r="E47" s="30"/>
      <c r="F47" s="29" t="str">
        <f t="shared" ref="F47:F50" si="16">IF(E47="","",E47*D47)</f>
        <v/>
      </c>
      <c r="G47" t="str">
        <f>IF(F47="","",_xlfn.RANK.EQ(F47,$F$38:$F$61,1)+COUNTIF($F$38:F78,F47)-1)</f>
        <v/>
      </c>
      <c r="H47" s="19" t="str">
        <f t="shared" ref="H47:H50" si="17">IFERROR((1000+200*(AVERAGE($F$38:$F$61)-F47)/_xlfn.STDEV.P($F$38:$F$61)),"")</f>
        <v/>
      </c>
      <c r="I47" s="18" t="str">
        <f t="shared" ref="I47:I50" si="18">IFERROR(((1000*SMALL($F$38:$F$61,1)/F47)),"")</f>
        <v/>
      </c>
      <c r="J47" s="17" t="str">
        <f t="shared" ref="J47:J50" si="19">IF(E47="","",IF(F47&gt;=2*SMALL($F$38:$F$61,1),0,1000-((F47-SMALL($F$7:$F$61,1))/SMALL($F$38:$F$61,1)*100)))</f>
        <v/>
      </c>
      <c r="K47" s="16" t="str">
        <f t="shared" ref="K47:K50" si="20">IFERROR((1000-MINUTE(F47-SMALL($F$38:$F$61,1))),"~")</f>
        <v>~</v>
      </c>
    </row>
    <row r="48" spans="1:11" x14ac:dyDescent="0.25">
      <c r="B48" t="s">
        <v>76</v>
      </c>
      <c r="C48" t="s">
        <v>19</v>
      </c>
      <c r="D48">
        <f>VLOOKUP(C48,Lookups!$E$2:$F$47,2,FALSE)</f>
        <v>0.63</v>
      </c>
      <c r="E48" s="30"/>
      <c r="F48" s="29" t="str">
        <f t="shared" si="16"/>
        <v/>
      </c>
      <c r="G48" t="str">
        <f>IF(F48="","",_xlfn.RANK.EQ(F48,$F$38:$F$61,1)+COUNTIF($F$38:F79,F48)-1)</f>
        <v/>
      </c>
      <c r="H48" s="19" t="str">
        <f t="shared" si="17"/>
        <v/>
      </c>
      <c r="I48" s="18" t="str">
        <f t="shared" si="18"/>
        <v/>
      </c>
      <c r="J48" s="17" t="str">
        <f t="shared" si="19"/>
        <v/>
      </c>
      <c r="K48" s="16" t="str">
        <f t="shared" si="20"/>
        <v>~</v>
      </c>
    </row>
    <row r="49" spans="1:11" x14ac:dyDescent="0.25">
      <c r="B49" t="s">
        <v>157</v>
      </c>
      <c r="C49" t="s">
        <v>156</v>
      </c>
      <c r="D49">
        <f>VLOOKUP(C49,Lookups!$E$2:$F$47,2,FALSE)</f>
        <v>1</v>
      </c>
      <c r="E49" s="30"/>
      <c r="F49" s="29"/>
      <c r="H49" s="19"/>
      <c r="I49" s="18"/>
      <c r="J49" s="17"/>
      <c r="K49" s="16"/>
    </row>
    <row r="50" spans="1:11" x14ac:dyDescent="0.25">
      <c r="B50" t="s">
        <v>25</v>
      </c>
      <c r="C50" t="s">
        <v>26</v>
      </c>
      <c r="D50">
        <f>VLOOKUP(C50,Lookups!$E$2:$F$47,2,FALSE)</f>
        <v>0.67</v>
      </c>
      <c r="E50" s="30"/>
      <c r="F50" s="29" t="str">
        <f t="shared" si="16"/>
        <v/>
      </c>
      <c r="G50" t="str">
        <f>IF(F50="","",_xlfn.RANK.EQ(F50,$F$38:$F$61,1)+COUNTIF($F$38:F80,F50)-1)</f>
        <v/>
      </c>
      <c r="H50" s="19" t="str">
        <f t="shared" si="17"/>
        <v/>
      </c>
      <c r="I50" s="18" t="str">
        <f t="shared" si="18"/>
        <v/>
      </c>
      <c r="J50" s="17" t="str">
        <f t="shared" si="19"/>
        <v/>
      </c>
      <c r="K50" s="16" t="str">
        <f t="shared" si="20"/>
        <v>~</v>
      </c>
    </row>
    <row r="51" spans="1:11" x14ac:dyDescent="0.25">
      <c r="A51">
        <v>10</v>
      </c>
      <c r="B51" t="s">
        <v>104</v>
      </c>
      <c r="C51" t="s">
        <v>47</v>
      </c>
      <c r="D51">
        <f>VLOOKUP(C51,Lookups!$E$2:$F$47,2,FALSE)</f>
        <v>0.8</v>
      </c>
      <c r="E51" s="30">
        <v>4.2546296296296297E-2</v>
      </c>
      <c r="F51" s="29">
        <f t="shared" si="15"/>
        <v>3.4037037037037039E-2</v>
      </c>
      <c r="G51">
        <f>IF(F51="","",_xlfn.RANK.EQ(F51,$F$38:$F$61,1)+COUNTIF($F$38:F78,F51)-1)</f>
        <v>3</v>
      </c>
      <c r="H51" s="19">
        <f t="shared" si="11"/>
        <v>885.48042421236778</v>
      </c>
      <c r="I51" s="18">
        <f t="shared" si="12"/>
        <v>609.35799782372123</v>
      </c>
      <c r="J51" s="17">
        <f t="shared" si="13"/>
        <v>935.89285714285711</v>
      </c>
      <c r="K51" s="16">
        <f t="shared" si="14"/>
        <v>981</v>
      </c>
    </row>
    <row r="52" spans="1:11" x14ac:dyDescent="0.25">
      <c r="A52">
        <v>11</v>
      </c>
      <c r="B52" t="s">
        <v>58</v>
      </c>
      <c r="C52" t="s">
        <v>59</v>
      </c>
      <c r="D52">
        <f>VLOOKUP(C52,Lookups!$E$2:$F$47,2,FALSE)</f>
        <v>0.77</v>
      </c>
      <c r="E52" s="30"/>
      <c r="F52" s="29" t="str">
        <f t="shared" si="15"/>
        <v/>
      </c>
      <c r="G52" t="str">
        <f>IF(F52="","",_xlfn.RANK.EQ(F52,$F$38:$F$61,1)+COUNTIF($F$38:F79,F52)-1)</f>
        <v/>
      </c>
      <c r="H52" s="19" t="str">
        <f t="shared" si="11"/>
        <v/>
      </c>
      <c r="I52" s="18" t="str">
        <f t="shared" si="12"/>
        <v/>
      </c>
      <c r="J52" s="17" t="str">
        <f t="shared" si="13"/>
        <v/>
      </c>
      <c r="K52" s="16" t="str">
        <f t="shared" si="14"/>
        <v>~</v>
      </c>
    </row>
    <row r="53" spans="1:11" x14ac:dyDescent="0.25">
      <c r="A53">
        <v>12</v>
      </c>
      <c r="B53" t="s">
        <v>42</v>
      </c>
      <c r="C53" t="s">
        <v>43</v>
      </c>
      <c r="D53">
        <f>VLOOKUP(C53,Lookups!$E$2:$F$47,2,FALSE)</f>
        <v>0.64</v>
      </c>
      <c r="E53" s="30"/>
      <c r="F53" s="29" t="str">
        <f t="shared" si="15"/>
        <v/>
      </c>
      <c r="G53" t="str">
        <f>IF(F53="","",_xlfn.RANK.EQ(F53,$F$38:$F$61,1)+COUNTIF($F$38:F80,F53)-1)</f>
        <v/>
      </c>
      <c r="H53" s="19" t="str">
        <f t="shared" si="11"/>
        <v/>
      </c>
      <c r="I53" s="18" t="str">
        <f t="shared" si="12"/>
        <v/>
      </c>
      <c r="J53" s="17" t="str">
        <f t="shared" si="13"/>
        <v/>
      </c>
      <c r="K53" s="16" t="str">
        <f t="shared" si="14"/>
        <v>~</v>
      </c>
    </row>
    <row r="54" spans="1:11" x14ac:dyDescent="0.25">
      <c r="A54">
        <v>13</v>
      </c>
      <c r="B54" t="s">
        <v>60</v>
      </c>
      <c r="C54" t="s">
        <v>34</v>
      </c>
      <c r="D54">
        <f>VLOOKUP(C54,Lookups!$E$2:$F$47,2,FALSE)</f>
        <v>0.8</v>
      </c>
      <c r="E54" s="30"/>
      <c r="F54" s="29" t="str">
        <f t="shared" si="15"/>
        <v/>
      </c>
      <c r="G54" t="str">
        <f>IF(F54="","",_xlfn.RANK.EQ(F54,$F$38:$F$61,1)+COUNTIF($F$38:F81,F54)-1)</f>
        <v/>
      </c>
      <c r="H54" s="19" t="str">
        <f t="shared" si="11"/>
        <v/>
      </c>
      <c r="I54" s="18" t="str">
        <f t="shared" si="12"/>
        <v/>
      </c>
      <c r="J54" s="17" t="str">
        <f t="shared" si="13"/>
        <v/>
      </c>
      <c r="K54" s="16" t="str">
        <f t="shared" si="14"/>
        <v>~</v>
      </c>
    </row>
    <row r="55" spans="1:11" x14ac:dyDescent="0.25">
      <c r="A55">
        <v>14</v>
      </c>
      <c r="B55" t="s">
        <v>114</v>
      </c>
      <c r="C55" t="s">
        <v>31</v>
      </c>
      <c r="D55">
        <f>VLOOKUP(C55,Lookups!$E$2:$F$47,2,FALSE)</f>
        <v>0.82</v>
      </c>
      <c r="E55" s="30"/>
      <c r="F55" s="29" t="str">
        <f t="shared" si="15"/>
        <v/>
      </c>
      <c r="G55" t="str">
        <f>IF(F55="","",_xlfn.RANK.EQ(F55,$F$38:$F$61,1)+COUNTIF($F$38:F82,F55)-1)</f>
        <v/>
      </c>
      <c r="H55" s="19" t="str">
        <f t="shared" si="11"/>
        <v/>
      </c>
      <c r="I55" s="18" t="str">
        <f t="shared" si="12"/>
        <v/>
      </c>
      <c r="J55" s="17" t="str">
        <f t="shared" si="13"/>
        <v/>
      </c>
      <c r="K55" s="16" t="str">
        <f t="shared" si="14"/>
        <v>~</v>
      </c>
    </row>
    <row r="56" spans="1:11" x14ac:dyDescent="0.25">
      <c r="A56">
        <v>15</v>
      </c>
      <c r="B56" t="s">
        <v>61</v>
      </c>
      <c r="C56" t="s">
        <v>39</v>
      </c>
      <c r="D56">
        <f>VLOOKUP(C56,Lookups!$E$2:$F$47,2,FALSE)</f>
        <v>0.9</v>
      </c>
      <c r="E56" s="30">
        <v>4.1527777777777775E-2</v>
      </c>
      <c r="F56" s="29">
        <f t="shared" si="15"/>
        <v>3.7374999999999999E-2</v>
      </c>
      <c r="G56">
        <f>IF(F56="","",_xlfn.RANK.EQ(F56,$F$38:$F$61,1)+COUNTIF($F$38:F83,F56)-1)</f>
        <v>4</v>
      </c>
      <c r="H56" s="19">
        <f t="shared" si="11"/>
        <v>778.45694509003124</v>
      </c>
      <c r="I56" s="18">
        <f t="shared" si="12"/>
        <v>554.93620711012011</v>
      </c>
      <c r="J56" s="17">
        <f t="shared" si="13"/>
        <v>919.79910714285711</v>
      </c>
      <c r="K56" s="16">
        <f t="shared" si="14"/>
        <v>977</v>
      </c>
    </row>
    <row r="57" spans="1:11" x14ac:dyDescent="0.25">
      <c r="A57">
        <v>16</v>
      </c>
      <c r="B57" t="s">
        <v>6</v>
      </c>
      <c r="C57" t="s">
        <v>19</v>
      </c>
      <c r="D57">
        <f>VLOOKUP(C57,Lookups!$E$2:$F$47,2,FALSE)</f>
        <v>0.63</v>
      </c>
      <c r="E57" s="30"/>
      <c r="F57" s="29" t="str">
        <f t="shared" si="15"/>
        <v/>
      </c>
      <c r="G57" t="str">
        <f>IF(F57="","",_xlfn.RANK.EQ(F57,$F$38:$F$61,1)+COUNTIF($F$38:F84,F57)-1)</f>
        <v/>
      </c>
      <c r="H57" s="19" t="str">
        <f t="shared" si="11"/>
        <v/>
      </c>
      <c r="I57" s="18" t="str">
        <f t="shared" si="12"/>
        <v/>
      </c>
      <c r="J57" s="17" t="str">
        <f t="shared" si="13"/>
        <v/>
      </c>
      <c r="K57" s="16" t="str">
        <f t="shared" si="14"/>
        <v>~</v>
      </c>
    </row>
    <row r="58" spans="1:11" x14ac:dyDescent="0.25">
      <c r="A58">
        <v>17</v>
      </c>
      <c r="B58" t="s">
        <v>65</v>
      </c>
      <c r="C58" t="s">
        <v>108</v>
      </c>
      <c r="D58">
        <f>VLOOKUP(C58,Lookups!$E$2:$F$47,2,FALSE)</f>
        <v>0.65</v>
      </c>
      <c r="E58" s="30"/>
      <c r="F58" s="29" t="str">
        <f t="shared" si="15"/>
        <v/>
      </c>
      <c r="G58" t="str">
        <f>IF(F58="","",_xlfn.RANK.EQ(F58,$F$38:$F$61,1)+COUNTIF($F$38:F85,F58)-1)</f>
        <v/>
      </c>
      <c r="H58" s="19" t="str">
        <f t="shared" si="11"/>
        <v/>
      </c>
      <c r="I58" s="18" t="str">
        <f t="shared" si="12"/>
        <v/>
      </c>
      <c r="J58" s="17" t="str">
        <f t="shared" si="13"/>
        <v/>
      </c>
      <c r="K58" s="16" t="str">
        <f t="shared" si="14"/>
        <v>~</v>
      </c>
    </row>
    <row r="59" spans="1:11" x14ac:dyDescent="0.25">
      <c r="A59">
        <v>18</v>
      </c>
      <c r="B59" t="s">
        <v>106</v>
      </c>
      <c r="C59" t="s">
        <v>107</v>
      </c>
      <c r="D59">
        <f>VLOOKUP(C59,Lookups!$E$2:$F$47,2,FALSE)</f>
        <v>0.92</v>
      </c>
      <c r="E59" s="30"/>
      <c r="F59" s="29" t="str">
        <f t="shared" si="15"/>
        <v/>
      </c>
      <c r="G59" t="str">
        <f>IF(F59="","",_xlfn.RANK.EQ(F59,$F$38:$F$61,1)+COUNTIF($F$38:F86,F59)-1)</f>
        <v/>
      </c>
      <c r="H59" s="19" t="str">
        <f t="shared" si="11"/>
        <v/>
      </c>
      <c r="I59" s="18" t="str">
        <f t="shared" si="12"/>
        <v/>
      </c>
      <c r="J59" s="17" t="str">
        <f t="shared" si="13"/>
        <v/>
      </c>
      <c r="K59" s="16" t="str">
        <f t="shared" si="14"/>
        <v>~</v>
      </c>
    </row>
    <row r="60" spans="1:11" x14ac:dyDescent="0.25">
      <c r="A60">
        <v>19</v>
      </c>
      <c r="B60" t="s">
        <v>96</v>
      </c>
      <c r="C60" t="s">
        <v>97</v>
      </c>
      <c r="D60">
        <f>VLOOKUP(C60,Lookups!$E$2:$F$47,2,FALSE)</f>
        <v>0.7</v>
      </c>
      <c r="E60" s="30"/>
      <c r="F60" s="29" t="str">
        <f t="shared" ref="F60" si="21">IF(E60="","",E60*D60)</f>
        <v/>
      </c>
      <c r="G60" t="str">
        <f>IF(F60="","",_xlfn.RANK.EQ(F60,$F$38:$F$61,1)+COUNTIF($F$38:F87,F60)-1)</f>
        <v/>
      </c>
      <c r="H60" s="19" t="str">
        <f t="shared" si="11"/>
        <v/>
      </c>
      <c r="I60" s="18" t="str">
        <f t="shared" si="12"/>
        <v/>
      </c>
      <c r="J60" s="17" t="str">
        <f t="shared" si="13"/>
        <v/>
      </c>
      <c r="K60" s="16" t="str">
        <f t="shared" si="14"/>
        <v>~</v>
      </c>
    </row>
    <row r="61" spans="1:11" x14ac:dyDescent="0.25">
      <c r="A61">
        <v>19</v>
      </c>
      <c r="B61" t="s">
        <v>67</v>
      </c>
      <c r="C61" t="s">
        <v>34</v>
      </c>
      <c r="D61">
        <f>VLOOKUP(C61,Lookups!$E$2:$F$47,2,FALSE)</f>
        <v>0.8</v>
      </c>
      <c r="E61" s="30"/>
      <c r="F61" s="29" t="str">
        <f t="shared" si="15"/>
        <v/>
      </c>
      <c r="G61" t="str">
        <f>IF(F61="","",_xlfn.RANK.EQ(F61,$F$38:$F$61,1)+COUNTIF($F$38:F87,F61)-1)</f>
        <v/>
      </c>
      <c r="H61" s="19" t="str">
        <f t="shared" si="11"/>
        <v/>
      </c>
      <c r="I61" s="18" t="str">
        <f t="shared" si="12"/>
        <v/>
      </c>
      <c r="J61" s="17" t="str">
        <f t="shared" si="13"/>
        <v/>
      </c>
      <c r="K61" s="16" t="str">
        <f t="shared" si="14"/>
        <v>~</v>
      </c>
    </row>
    <row r="62" spans="1:11" x14ac:dyDescent="0.25">
      <c r="E62" s="26"/>
    </row>
    <row r="63" spans="1:11" x14ac:dyDescent="0.25">
      <c r="A63" t="s">
        <v>64</v>
      </c>
      <c r="E63" s="26"/>
    </row>
    <row r="64" spans="1:11" ht="30" x14ac:dyDescent="0.25">
      <c r="A64" t="s">
        <v>8</v>
      </c>
      <c r="B64" t="s">
        <v>9</v>
      </c>
      <c r="C64" t="s">
        <v>10</v>
      </c>
      <c r="D64" t="s">
        <v>54</v>
      </c>
      <c r="E64" s="27" t="s">
        <v>95</v>
      </c>
      <c r="F64" s="24" t="s">
        <v>94</v>
      </c>
      <c r="G64" s="24" t="s">
        <v>8</v>
      </c>
      <c r="H64" s="23" t="s">
        <v>93</v>
      </c>
      <c r="I64" s="22" t="s">
        <v>92</v>
      </c>
      <c r="J64" s="21" t="s">
        <v>91</v>
      </c>
      <c r="K64" s="20" t="s">
        <v>90</v>
      </c>
    </row>
    <row r="65" spans="1:11" x14ac:dyDescent="0.25">
      <c r="A65">
        <v>1</v>
      </c>
      <c r="B65" t="s">
        <v>60</v>
      </c>
      <c r="C65" t="s">
        <v>34</v>
      </c>
      <c r="D65">
        <f>VLOOKUP(C65,Lookups!$E$2:$F$47,2,FALSE)</f>
        <v>0.8</v>
      </c>
      <c r="E65" s="30"/>
      <c r="F65" s="29" t="str">
        <f>IF(E65="","",E65*D65)</f>
        <v/>
      </c>
      <c r="G65" t="str">
        <f>IF(F65="","",_xlfn.RANK.EQ(F65,$F$65:$F$86,1)+COUNTIF($F$65:F86,F65)-1)</f>
        <v/>
      </c>
      <c r="H65" s="19" t="str">
        <f>IFERROR((1000+200*(AVERAGE($F$65:$F$86)-F65)/_xlfn.STDEV.P($F$65:$F$86)),"")</f>
        <v/>
      </c>
      <c r="I65" s="18" t="str">
        <f>IFERROR(((1000*SMALL($F$65:$F$86,1)/F65)),"")</f>
        <v/>
      </c>
      <c r="J65" s="17" t="str">
        <f>IF(E65="","",IF(F65&gt;=2*SMALL($F$65:$F$86,1),0,1000-((F65-SMALL($F$65:$F$86,1))/SMALL($F$65:$F$86,1)*100)))</f>
        <v/>
      </c>
      <c r="K65" s="16" t="str">
        <f>IFERROR((1000-MINUTE(F65-SMALL($F$65:$F$86,1))),"~")</f>
        <v>~</v>
      </c>
    </row>
    <row r="66" spans="1:11" x14ac:dyDescent="0.25">
      <c r="A66">
        <v>2</v>
      </c>
      <c r="B66" t="s">
        <v>65</v>
      </c>
      <c r="C66" t="s">
        <v>108</v>
      </c>
      <c r="D66">
        <f>VLOOKUP(C66,Lookups!$E$2:$F$47,2,FALSE)</f>
        <v>0.65</v>
      </c>
      <c r="E66" s="30">
        <v>3.0879629629629632E-2</v>
      </c>
      <c r="F66" s="29">
        <f t="shared" ref="F66:F86" si="22">IF(E66="","",E66*D66)</f>
        <v>2.0071759259259261E-2</v>
      </c>
      <c r="G66">
        <f>IF(F66="","",_xlfn.RANK.EQ(F66,$F$65:$F$86,1)+COUNTIF($F$65:F87,F66)-1)</f>
        <v>1</v>
      </c>
      <c r="H66" s="19" t="str">
        <f>IFERROR((1000+200*(AVERAGE($F$65:$F$86)-F66)/_xlfn.STDEV.P($F$65:$F$86)),"")</f>
        <v/>
      </c>
      <c r="I66" s="18">
        <f>IFERROR(((1000*SMALL($F$65:$F$86,1)/F66)),"")</f>
        <v>1000.0000000000001</v>
      </c>
      <c r="J66" s="17">
        <f>IF(E66="","",IF(F66&gt;=2*SMALL($F$65:$F$86,1),0,1000-((F66-SMALL($F$65:$F$86,1))/SMALL($F$65:$F$86,1)*100)))</f>
        <v>1000</v>
      </c>
      <c r="K66" s="16">
        <f>IFERROR((1000-MINUTE(F66-SMALL($F$65:$F$86,1))),"~")</f>
        <v>1000</v>
      </c>
    </row>
    <row r="67" spans="1:11" x14ac:dyDescent="0.25">
      <c r="A67">
        <v>3</v>
      </c>
      <c r="B67" t="s">
        <v>67</v>
      </c>
      <c r="C67" t="s">
        <v>34</v>
      </c>
      <c r="D67">
        <f>VLOOKUP(C67,Lookups!$E$2:$F$47,2,FALSE)</f>
        <v>0.8</v>
      </c>
      <c r="E67" s="30"/>
      <c r="F67" s="29" t="str">
        <f t="shared" si="22"/>
        <v/>
      </c>
      <c r="G67" t="str">
        <f>IF(F67="","",_xlfn.RANK.EQ(F67,$F$65:$F$86,1)+COUNTIF($F$65:F88,F67)-1)</f>
        <v/>
      </c>
      <c r="H67" s="19" t="str">
        <f>IFERROR((1000+200*(AVERAGE($F$65:$F$86)-F67)/_xlfn.STDEV.P($F$65:$F$86)),"")</f>
        <v/>
      </c>
      <c r="I67" s="18" t="str">
        <f>IFERROR(((1000*SMALL($F$65:$F$86,1)/F67)),"")</f>
        <v/>
      </c>
      <c r="J67" s="17" t="str">
        <f>IF(E67="","",IF(F67&gt;=2*SMALL($F$65:$F$86,1),0,1000-((F67-SMALL($F$65:$F$86,1))/SMALL($F$65:$F$86,1)*100)))</f>
        <v/>
      </c>
      <c r="K67" s="16" t="str">
        <f>IFERROR((1000-MINUTE(F67-SMALL($F$65:$F$86,1))),"~")</f>
        <v>~</v>
      </c>
    </row>
    <row r="68" spans="1:11" x14ac:dyDescent="0.25">
      <c r="A68">
        <v>4</v>
      </c>
      <c r="B68" t="s">
        <v>57</v>
      </c>
      <c r="C68" t="s">
        <v>49</v>
      </c>
      <c r="D68">
        <f>VLOOKUP(C68,Lookups!$E$2:$F$47,2,FALSE)</f>
        <v>0.7</v>
      </c>
      <c r="E68" s="30"/>
      <c r="F68" s="29" t="str">
        <f t="shared" si="22"/>
        <v/>
      </c>
      <c r="G68" t="str">
        <f>IF(F68="","",_xlfn.RANK.EQ(F68,$F$65:$F$86,1)+COUNTIF($F$65:F89,F68)-1)</f>
        <v/>
      </c>
      <c r="H68" s="19" t="str">
        <f>IFERROR((1000+200*(AVERAGE($F$65:$F$86)-F68)/_xlfn.STDEV.P($F$65:$F$86)),"")</f>
        <v/>
      </c>
      <c r="I68" s="18" t="str">
        <f>IFERROR(((1000*SMALL($F$65:$F$86,1)/F68)),"")</f>
        <v/>
      </c>
      <c r="J68" s="17" t="str">
        <f>IF(E68="","",IF(F68&gt;=2*SMALL($F$65:$F$86,1),0,1000-((F68-SMALL($F$65:$F$86,1))/SMALL($F$65:$F$86,1)*100)))</f>
        <v/>
      </c>
      <c r="K68" s="16" t="str">
        <f>IFERROR((1000-MINUTE(F68-SMALL($F$65:$F$86,1))),"~")</f>
        <v>~</v>
      </c>
    </row>
    <row r="69" spans="1:11" x14ac:dyDescent="0.25">
      <c r="B69" t="s">
        <v>44</v>
      </c>
      <c r="C69" t="s">
        <v>45</v>
      </c>
      <c r="D69">
        <f>VLOOKUP(C69,Lookups!$E$2:$F$47,2,FALSE)</f>
        <v>0.67</v>
      </c>
      <c r="E69" s="30"/>
      <c r="F69" s="29" t="str">
        <f t="shared" ref="F69:F77" si="23">IF(E69="","",E69*D69)</f>
        <v/>
      </c>
      <c r="G69" t="str">
        <f>IF(F69="","",_xlfn.RANK.EQ(F69,$F$65:$F$86,1)+COUNTIF($F$65:F90,F69)-1)</f>
        <v/>
      </c>
      <c r="H69" s="19" t="str">
        <f t="shared" ref="H69:H77" si="24">IFERROR((1000+200*(AVERAGE($F$65:$F$86)-F69)/_xlfn.STDEV.P($F$65:$F$86)),"")</f>
        <v/>
      </c>
      <c r="I69" s="18" t="str">
        <f t="shared" ref="I69:I77" si="25">IFERROR(((1000*SMALL($F$65:$F$86,1)/F69)),"")</f>
        <v/>
      </c>
      <c r="J69" s="17" t="str">
        <f t="shared" ref="J69:J77" si="26">IF(E69="","",IF(F69&gt;=2*SMALL($F$65:$F$86,1),0,1000-((F69-SMALL($F$65:$F$86,1))/SMALL($F$65:$F$86,1)*100)))</f>
        <v/>
      </c>
      <c r="K69" s="16" t="str">
        <f t="shared" ref="K69:K77" si="27">IFERROR((1000-MINUTE(F69-SMALL($F$65:$F$86,1))),"~")</f>
        <v>~</v>
      </c>
    </row>
    <row r="70" spans="1:11" x14ac:dyDescent="0.25">
      <c r="B70" t="s">
        <v>62</v>
      </c>
      <c r="C70" t="s">
        <v>63</v>
      </c>
      <c r="D70">
        <f>VLOOKUP(C70,Lookups!$E$2:$F$47,2,FALSE)</f>
        <v>0.62</v>
      </c>
      <c r="E70" s="30"/>
      <c r="F70" s="29" t="str">
        <f t="shared" si="23"/>
        <v/>
      </c>
      <c r="G70" t="str">
        <f>IF(F70="","",_xlfn.RANK.EQ(F70,$F$65:$F$86,1)+COUNTIF($F$65:F91,F70)-1)</f>
        <v/>
      </c>
      <c r="H70" s="19" t="str">
        <f t="shared" si="24"/>
        <v/>
      </c>
      <c r="I70" s="18" t="str">
        <f t="shared" si="25"/>
        <v/>
      </c>
      <c r="J70" s="17" t="str">
        <f t="shared" si="26"/>
        <v/>
      </c>
      <c r="K70" s="16" t="str">
        <f t="shared" si="27"/>
        <v>~</v>
      </c>
    </row>
    <row r="71" spans="1:11" x14ac:dyDescent="0.25">
      <c r="B71" t="s">
        <v>119</v>
      </c>
      <c r="C71" t="s">
        <v>47</v>
      </c>
      <c r="D71">
        <f>VLOOKUP(C71,Lookups!$E$2:$F$47,2,FALSE)</f>
        <v>0.8</v>
      </c>
      <c r="E71" s="30"/>
      <c r="F71" s="29" t="str">
        <f t="shared" si="23"/>
        <v/>
      </c>
      <c r="G71" t="str">
        <f>IF(F71="","",_xlfn.RANK.EQ(F71,$F$65:$F$86,1)+COUNTIF($F$65:F92,F71)-1)</f>
        <v/>
      </c>
      <c r="H71" s="19" t="str">
        <f t="shared" si="24"/>
        <v/>
      </c>
      <c r="I71" s="18" t="str">
        <f t="shared" si="25"/>
        <v/>
      </c>
      <c r="J71" s="17" t="str">
        <f t="shared" si="26"/>
        <v/>
      </c>
      <c r="K71" s="16" t="str">
        <f t="shared" si="27"/>
        <v>~</v>
      </c>
    </row>
    <row r="72" spans="1:11" x14ac:dyDescent="0.25">
      <c r="B72" t="s">
        <v>76</v>
      </c>
      <c r="C72" t="s">
        <v>19</v>
      </c>
      <c r="D72">
        <f>VLOOKUP(C72,Lookups!$E$2:$F$47,2,FALSE)</f>
        <v>0.63</v>
      </c>
      <c r="E72" s="30"/>
      <c r="F72" s="29" t="str">
        <f t="shared" ref="F72" si="28">IF(E72="","",E72*D72)</f>
        <v/>
      </c>
      <c r="G72" t="str">
        <f>IF(F72="","",_xlfn.RANK.EQ(F72,$F$65:$F$86,1)+COUNTIF($F$65:F96,F72)-1)</f>
        <v/>
      </c>
      <c r="H72" s="19" t="str">
        <f t="shared" ref="H72" si="29">IFERROR((1000+200*(AVERAGE($F$65:$F$86)-F72)/_xlfn.STDEV.P($F$65:$F$86)),"")</f>
        <v/>
      </c>
      <c r="I72" s="18" t="str">
        <f t="shared" ref="I72" si="30">IFERROR(((1000*SMALL($F$65:$F$86,1)/F72)),"")</f>
        <v/>
      </c>
      <c r="J72" s="17" t="str">
        <f t="shared" ref="J72" si="31">IF(E72="","",IF(F72&gt;=2*SMALL($F$65:$F$86,1),0,1000-((F72-SMALL($F$65:$F$86,1))/SMALL($F$65:$F$86,1)*100)))</f>
        <v/>
      </c>
      <c r="K72" s="16" t="str">
        <f t="shared" ref="K72" si="32">IFERROR((1000-MINUTE(F72-SMALL($F$65:$F$86,1))),"~")</f>
        <v>~</v>
      </c>
    </row>
    <row r="73" spans="1:11" x14ac:dyDescent="0.25">
      <c r="B73" t="s">
        <v>58</v>
      </c>
      <c r="C73" t="s">
        <v>59</v>
      </c>
      <c r="D73">
        <f>VLOOKUP(C73,Lookups!$E$2:$F$47,2,FALSE)</f>
        <v>0.77</v>
      </c>
      <c r="E73" s="30"/>
      <c r="F73" s="29" t="str">
        <f t="shared" si="23"/>
        <v/>
      </c>
      <c r="G73" t="str">
        <f>IF(F73="","",_xlfn.RANK.EQ(F73,$F$65:$F$86,1)+COUNTIF($F$65:F96,F73)-1)</f>
        <v/>
      </c>
      <c r="H73" s="19" t="str">
        <f t="shared" si="24"/>
        <v/>
      </c>
      <c r="I73" s="18" t="str">
        <f t="shared" si="25"/>
        <v/>
      </c>
      <c r="J73" s="17" t="str">
        <f t="shared" si="26"/>
        <v/>
      </c>
      <c r="K73" s="16" t="str">
        <f t="shared" si="27"/>
        <v>~</v>
      </c>
    </row>
    <row r="74" spans="1:11" x14ac:dyDescent="0.25">
      <c r="B74" t="s">
        <v>112</v>
      </c>
      <c r="C74" t="s">
        <v>17</v>
      </c>
      <c r="D74">
        <f>VLOOKUP(C74,Lookups!$E$2:$F$47,2,FALSE)</f>
        <v>0.7</v>
      </c>
      <c r="E74" s="30"/>
      <c r="F74" s="29" t="str">
        <f t="shared" si="23"/>
        <v/>
      </c>
      <c r="G74" t="str">
        <f>IF(F74="","",_xlfn.RANK.EQ(F74,$F$65:$F$86,1)+COUNTIF($F$65:F97,F74)-1)</f>
        <v/>
      </c>
      <c r="H74" s="19" t="str">
        <f t="shared" si="24"/>
        <v/>
      </c>
      <c r="I74" s="18" t="str">
        <f t="shared" si="25"/>
        <v/>
      </c>
      <c r="J74" s="17" t="str">
        <f t="shared" si="26"/>
        <v/>
      </c>
      <c r="K74" s="16" t="str">
        <f t="shared" si="27"/>
        <v>~</v>
      </c>
    </row>
    <row r="75" spans="1:11" x14ac:dyDescent="0.25">
      <c r="B75" t="s">
        <v>113</v>
      </c>
      <c r="C75" t="s">
        <v>47</v>
      </c>
      <c r="D75">
        <f>VLOOKUP(C75,Lookups!$E$2:$F$47,2,FALSE)</f>
        <v>0.8</v>
      </c>
      <c r="E75" s="30"/>
      <c r="F75" s="29" t="str">
        <f t="shared" si="23"/>
        <v/>
      </c>
      <c r="G75" t="str">
        <f>IF(F75="","",_xlfn.RANK.EQ(F75,$F$65:$F$86,1)+COUNTIF($F$65:F98,F75)-1)</f>
        <v/>
      </c>
      <c r="H75" s="19" t="str">
        <f t="shared" si="24"/>
        <v/>
      </c>
      <c r="I75" s="18" t="str">
        <f t="shared" si="25"/>
        <v/>
      </c>
      <c r="J75" s="17" t="str">
        <f t="shared" si="26"/>
        <v/>
      </c>
      <c r="K75" s="16" t="str">
        <f t="shared" si="27"/>
        <v>~</v>
      </c>
    </row>
    <row r="76" spans="1:11" x14ac:dyDescent="0.25">
      <c r="B76" t="s">
        <v>111</v>
      </c>
      <c r="C76" t="s">
        <v>39</v>
      </c>
      <c r="D76">
        <f>VLOOKUP(C76,Lookups!$E$2:$F$47,2,FALSE)</f>
        <v>0.9</v>
      </c>
      <c r="E76" s="30"/>
      <c r="F76" s="29" t="str">
        <f t="shared" si="23"/>
        <v/>
      </c>
      <c r="G76" t="str">
        <f>IF(F76="","",_xlfn.RANK.EQ(F76,$F$65:$F$86,1)+COUNTIF($F$65:F99,F76)-1)</f>
        <v/>
      </c>
      <c r="H76" s="19" t="str">
        <f t="shared" si="24"/>
        <v/>
      </c>
      <c r="I76" s="18" t="str">
        <f t="shared" si="25"/>
        <v/>
      </c>
      <c r="J76" s="17" t="str">
        <f t="shared" si="26"/>
        <v/>
      </c>
      <c r="K76" s="16" t="str">
        <f t="shared" si="27"/>
        <v>~</v>
      </c>
    </row>
    <row r="77" spans="1:11" x14ac:dyDescent="0.25">
      <c r="A77">
        <v>5</v>
      </c>
      <c r="B77" t="s">
        <v>125</v>
      </c>
      <c r="C77" t="s">
        <v>49</v>
      </c>
      <c r="D77">
        <f>VLOOKUP(C77,Lookups!$E$2:$F$47,2,FALSE)</f>
        <v>0.7</v>
      </c>
      <c r="E77" s="30"/>
      <c r="F77" s="29" t="str">
        <f t="shared" si="23"/>
        <v/>
      </c>
      <c r="G77" t="str">
        <f>IF(F77="","",_xlfn.RANK.EQ(F77,$F$65:$F$86,1)+COUNTIF($F$65:F100,F77)-1)</f>
        <v/>
      </c>
      <c r="H77" s="19" t="str">
        <f t="shared" si="24"/>
        <v/>
      </c>
      <c r="I77" s="18" t="str">
        <f t="shared" si="25"/>
        <v/>
      </c>
      <c r="J77" s="17" t="str">
        <f t="shared" si="26"/>
        <v/>
      </c>
      <c r="K77" s="16" t="str">
        <f t="shared" si="27"/>
        <v>~</v>
      </c>
    </row>
    <row r="78" spans="1:11" x14ac:dyDescent="0.25">
      <c r="A78">
        <v>6</v>
      </c>
      <c r="B78" t="s">
        <v>69</v>
      </c>
      <c r="C78" t="s">
        <v>70</v>
      </c>
      <c r="D78">
        <f>VLOOKUP(C78,Lookups!$E$2:$F$47,2,FALSE)</f>
        <v>0.71</v>
      </c>
      <c r="E78" s="30"/>
      <c r="F78" s="29" t="str">
        <f t="shared" si="22"/>
        <v/>
      </c>
      <c r="G78" t="str">
        <f>IF(F78="","",_xlfn.RANK.EQ(F78,$F$65:$F$86,1)+COUNTIF($F$65:F91,F78)-1)</f>
        <v/>
      </c>
      <c r="H78" s="19" t="str">
        <f t="shared" ref="H78:H86" si="33">IFERROR((1000+200*(AVERAGE($F$65:$F$86)-F78)/_xlfn.STDEV.P($F$65:$F$86)),"")</f>
        <v/>
      </c>
      <c r="I78" s="18" t="str">
        <f t="shared" ref="I78:I86" si="34">IFERROR(((1000*SMALL($F$65:$F$86,1)/F78)),"")</f>
        <v/>
      </c>
      <c r="J78" s="17" t="str">
        <f t="shared" ref="J78:J86" si="35">IF(E78="","",IF(F78&gt;=2*SMALL($F$65:$F$86,1),0,1000-((F78-SMALL($F$65:$F$86,1))/SMALL($F$65:$F$86,1)*100)))</f>
        <v/>
      </c>
      <c r="K78" s="16" t="str">
        <f t="shared" ref="K78:K86" si="36">IFERROR((1000-MINUTE(F78-SMALL($F$65:$F$86,1))),"~")</f>
        <v>~</v>
      </c>
    </row>
    <row r="79" spans="1:11" x14ac:dyDescent="0.25">
      <c r="A79">
        <v>7</v>
      </c>
      <c r="B79" t="s">
        <v>71</v>
      </c>
      <c r="C79" t="s">
        <v>72</v>
      </c>
      <c r="D79">
        <f>VLOOKUP(C79,Lookups!$E$2:$F$47,2,FALSE)</f>
        <v>0.6</v>
      </c>
      <c r="E79" s="30"/>
      <c r="F79" s="29" t="str">
        <f t="shared" si="22"/>
        <v/>
      </c>
      <c r="G79" t="str">
        <f>IF(F79="","",_xlfn.RANK.EQ(F79,$F$65:$F$86,1)+COUNTIF($F$65:F92,F79)-1)</f>
        <v/>
      </c>
      <c r="H79" s="19" t="str">
        <f t="shared" si="33"/>
        <v/>
      </c>
      <c r="I79" s="18" t="str">
        <f t="shared" si="34"/>
        <v/>
      </c>
      <c r="J79" s="17" t="str">
        <f t="shared" si="35"/>
        <v/>
      </c>
      <c r="K79" s="16" t="str">
        <f t="shared" si="36"/>
        <v>~</v>
      </c>
    </row>
    <row r="80" spans="1:11" x14ac:dyDescent="0.25">
      <c r="A80">
        <v>8</v>
      </c>
      <c r="B80" t="s">
        <v>73</v>
      </c>
      <c r="C80" t="s">
        <v>63</v>
      </c>
      <c r="D80">
        <f>VLOOKUP(C80,Lookups!$E$2:$F$47,2,FALSE)</f>
        <v>0.62</v>
      </c>
      <c r="E80" s="30"/>
      <c r="F80" s="29" t="str">
        <f t="shared" si="22"/>
        <v/>
      </c>
      <c r="G80" t="str">
        <f>IF(F80="","",_xlfn.RANK.EQ(F80,$F$65:$F$86,1)+COUNTIF($F$65:F96,F80)-1)</f>
        <v/>
      </c>
      <c r="H80" s="19" t="str">
        <f t="shared" si="33"/>
        <v/>
      </c>
      <c r="I80" s="18" t="str">
        <f t="shared" si="34"/>
        <v/>
      </c>
      <c r="J80" s="17" t="str">
        <f t="shared" si="35"/>
        <v/>
      </c>
      <c r="K80" s="16" t="str">
        <f t="shared" si="36"/>
        <v>~</v>
      </c>
    </row>
    <row r="81" spans="1:11" x14ac:dyDescent="0.25">
      <c r="A81">
        <v>9</v>
      </c>
      <c r="B81" t="s">
        <v>74</v>
      </c>
      <c r="C81" t="s">
        <v>34</v>
      </c>
      <c r="D81">
        <f>VLOOKUP(C81,Lookups!$E$2:$F$47,2,FALSE)</f>
        <v>0.8</v>
      </c>
      <c r="E81" s="30"/>
      <c r="F81" s="29" t="str">
        <f t="shared" si="22"/>
        <v/>
      </c>
      <c r="G81" t="str">
        <f>IF(F81="","",_xlfn.RANK.EQ(F81,$F$65:$F$86,1)+COUNTIF($F$65:F97,F81)-1)</f>
        <v/>
      </c>
      <c r="H81" s="19" t="str">
        <f t="shared" si="33"/>
        <v/>
      </c>
      <c r="I81" s="18" t="str">
        <f t="shared" si="34"/>
        <v/>
      </c>
      <c r="J81" s="17" t="str">
        <f t="shared" si="35"/>
        <v/>
      </c>
      <c r="K81" s="16" t="str">
        <f t="shared" si="36"/>
        <v>~</v>
      </c>
    </row>
    <row r="82" spans="1:11" x14ac:dyDescent="0.25">
      <c r="A82">
        <v>10</v>
      </c>
      <c r="B82" t="s">
        <v>75</v>
      </c>
      <c r="C82" t="s">
        <v>21</v>
      </c>
      <c r="D82">
        <f>VLOOKUP(C82,Lookups!$E$2:$F$47,2,FALSE)</f>
        <v>0.84</v>
      </c>
      <c r="E82" s="30"/>
      <c r="F82" s="29" t="str">
        <f t="shared" si="22"/>
        <v/>
      </c>
      <c r="G82" t="str">
        <f>IF(F82="","",_xlfn.RANK.EQ(F82,$F$65:$F$86,1)+COUNTIF($F$65:F98,F82)-1)</f>
        <v/>
      </c>
      <c r="H82" s="19" t="str">
        <f t="shared" si="33"/>
        <v/>
      </c>
      <c r="I82" s="18" t="str">
        <f t="shared" si="34"/>
        <v/>
      </c>
      <c r="J82" s="17" t="str">
        <f t="shared" si="35"/>
        <v/>
      </c>
      <c r="K82" s="16" t="str">
        <f t="shared" si="36"/>
        <v>~</v>
      </c>
    </row>
    <row r="83" spans="1:11" x14ac:dyDescent="0.25">
      <c r="A83">
        <v>11</v>
      </c>
      <c r="B83" t="s">
        <v>65</v>
      </c>
      <c r="C83" t="s">
        <v>108</v>
      </c>
      <c r="D83">
        <f>VLOOKUP(C83,Lookups!$E$2:$F$47,2,FALSE)</f>
        <v>0.65</v>
      </c>
      <c r="E83" s="30"/>
      <c r="F83" s="29" t="str">
        <f t="shared" si="22"/>
        <v/>
      </c>
      <c r="G83" t="str">
        <f>IF(F83="","",_xlfn.RANK.EQ(F83,$F$65:$F$86,1)+COUNTIF($F$65:F99,F83)-1)</f>
        <v/>
      </c>
      <c r="H83" s="19" t="str">
        <f t="shared" si="33"/>
        <v/>
      </c>
      <c r="I83" s="18" t="str">
        <f t="shared" si="34"/>
        <v/>
      </c>
      <c r="J83" s="17" t="str">
        <f t="shared" si="35"/>
        <v/>
      </c>
      <c r="K83" s="16" t="str">
        <f t="shared" si="36"/>
        <v>~</v>
      </c>
    </row>
    <row r="84" spans="1:11" x14ac:dyDescent="0.25">
      <c r="A84">
        <v>12</v>
      </c>
      <c r="B84" t="s">
        <v>77</v>
      </c>
      <c r="C84" t="s">
        <v>49</v>
      </c>
      <c r="D84">
        <f>VLOOKUP(C84,Lookups!$E$2:$F$47,2,FALSE)</f>
        <v>0.7</v>
      </c>
      <c r="E84" s="30"/>
      <c r="F84" s="29" t="str">
        <f t="shared" si="22"/>
        <v/>
      </c>
      <c r="G84" t="str">
        <f>IF(F84="","",_xlfn.RANK.EQ(F84,$F$65:$F$86,1)+COUNTIF($F$65:F100,F84)-1)</f>
        <v/>
      </c>
      <c r="H84" s="19" t="str">
        <f t="shared" si="33"/>
        <v/>
      </c>
      <c r="I84" s="18" t="str">
        <f t="shared" si="34"/>
        <v/>
      </c>
      <c r="J84" s="17" t="str">
        <f t="shared" si="35"/>
        <v/>
      </c>
      <c r="K84" s="16" t="str">
        <f t="shared" si="36"/>
        <v>~</v>
      </c>
    </row>
    <row r="85" spans="1:11" x14ac:dyDescent="0.25">
      <c r="A85">
        <v>13</v>
      </c>
      <c r="B85" t="s">
        <v>78</v>
      </c>
      <c r="C85" t="s">
        <v>72</v>
      </c>
      <c r="D85">
        <f>VLOOKUP(C85,Lookups!$E$2:$F$47,2,FALSE)</f>
        <v>0.6</v>
      </c>
      <c r="E85" s="30"/>
      <c r="F85" s="29" t="str">
        <f t="shared" si="22"/>
        <v/>
      </c>
      <c r="G85" t="str">
        <f>IF(F85="","",_xlfn.RANK.EQ(F85,$F$65:$F$86,1)+COUNTIF($F$65:F101,F85)-1)</f>
        <v/>
      </c>
      <c r="H85" s="19" t="str">
        <f t="shared" si="33"/>
        <v/>
      </c>
      <c r="I85" s="18" t="str">
        <f t="shared" si="34"/>
        <v/>
      </c>
      <c r="J85" s="17" t="str">
        <f t="shared" si="35"/>
        <v/>
      </c>
      <c r="K85" s="16" t="str">
        <f t="shared" si="36"/>
        <v>~</v>
      </c>
    </row>
    <row r="86" spans="1:11" x14ac:dyDescent="0.25">
      <c r="A86">
        <v>14</v>
      </c>
      <c r="B86" t="s">
        <v>79</v>
      </c>
      <c r="C86" t="s">
        <v>80</v>
      </c>
      <c r="D86">
        <f>VLOOKUP(C86,Lookups!$E$2:$F$47,2,FALSE)</f>
        <v>0.53</v>
      </c>
      <c r="E86" s="30"/>
      <c r="F86" s="29" t="str">
        <f t="shared" si="22"/>
        <v/>
      </c>
      <c r="G86" t="str">
        <f>IF(F86="","",_xlfn.RANK.EQ(F86,$F$65:$F$86,1)+COUNTIF($F$65:F102,F86)-1)</f>
        <v/>
      </c>
      <c r="H86" s="19" t="str">
        <f t="shared" si="33"/>
        <v/>
      </c>
      <c r="I86" s="18" t="str">
        <f t="shared" si="34"/>
        <v/>
      </c>
      <c r="J86" s="17" t="str">
        <f t="shared" si="35"/>
        <v/>
      </c>
      <c r="K86" s="16" t="str">
        <f t="shared" si="36"/>
        <v>~</v>
      </c>
    </row>
    <row r="87" spans="1:11" x14ac:dyDescent="0.25">
      <c r="E87" s="26"/>
    </row>
    <row r="88" spans="1:11" x14ac:dyDescent="0.25">
      <c r="A88" t="s">
        <v>81</v>
      </c>
      <c r="E88" s="26"/>
    </row>
    <row r="89" spans="1:11" ht="30" x14ac:dyDescent="0.25">
      <c r="A89" t="s">
        <v>8</v>
      </c>
      <c r="B89" t="s">
        <v>9</v>
      </c>
      <c r="C89" t="s">
        <v>10</v>
      </c>
      <c r="D89" t="s">
        <v>54</v>
      </c>
      <c r="E89" s="27" t="s">
        <v>95</v>
      </c>
      <c r="F89" s="24" t="s">
        <v>94</v>
      </c>
      <c r="G89" s="24" t="s">
        <v>8</v>
      </c>
      <c r="H89" s="23" t="s">
        <v>93</v>
      </c>
      <c r="I89" s="22" t="s">
        <v>92</v>
      </c>
      <c r="J89" s="21" t="s">
        <v>91</v>
      </c>
      <c r="K89" s="20" t="s">
        <v>90</v>
      </c>
    </row>
    <row r="90" spans="1:11" x14ac:dyDescent="0.25">
      <c r="A90">
        <v>1</v>
      </c>
      <c r="B90" t="s">
        <v>65</v>
      </c>
      <c r="C90" t="s">
        <v>82</v>
      </c>
      <c r="D90">
        <f>VLOOKUP(C90,Lookups!$E$2:$F$47,2,FALSE)</f>
        <v>0.62</v>
      </c>
      <c r="E90" s="30"/>
      <c r="F90" s="29" t="str">
        <f>IF(E90="","",E90*D90)</f>
        <v/>
      </c>
      <c r="G90" t="str">
        <f>IF(F90="","",_xlfn.RANK.EQ(F90,$F$90:$F$103,1)+COUNTIF($F$90:F103,F90)-1)</f>
        <v/>
      </c>
      <c r="H90" s="19" t="str">
        <f>IFERROR((1000+200*(AVERAGE($F$90:$F$103)-F90)/_xlfn.STDEV.P($F$90:$F$103)),"")</f>
        <v/>
      </c>
      <c r="I90" s="18" t="str">
        <f>IFERROR(((1000*SMALL($F$90:$F$103,1)/F90)),"")</f>
        <v/>
      </c>
      <c r="J90" s="17" t="str">
        <f>IF(E90="","",IF(F90&gt;=2*SMALL($F$90:$F$103,1),0,1000-((F90-SMALL($F$90:$F$103,1))/SMALL($F$90:$F$103,1)*100)))</f>
        <v/>
      </c>
      <c r="K90" s="16" t="str">
        <f>IFERROR((1000-MINUTE(F90-SMALL($F$90:$F$103,1))),"~")</f>
        <v>~</v>
      </c>
    </row>
    <row r="91" spans="1:11" x14ac:dyDescent="0.25">
      <c r="A91">
        <v>2</v>
      </c>
      <c r="B91" t="s">
        <v>68</v>
      </c>
      <c r="C91" t="s">
        <v>63</v>
      </c>
      <c r="D91">
        <f>VLOOKUP(C91,Lookups!$E$2:$F$47,2,FALSE)</f>
        <v>0.62</v>
      </c>
      <c r="E91" s="30"/>
      <c r="F91" s="29" t="str">
        <f t="shared" ref="F91:F103" si="37">IF(E91="","",E91*D91)</f>
        <v/>
      </c>
      <c r="G91" t="str">
        <f>IF(F91="","",_xlfn.RANK.EQ(F91,$F$90:$F$103,1)+COUNTIF($F$90:F104,F91)-1)</f>
        <v/>
      </c>
      <c r="H91" s="19" t="str">
        <f t="shared" ref="H91:H103" si="38">IFERROR((1000+200*(AVERAGE($F$90:$F$103)-F91)/_xlfn.STDEV.P($F$90:$F$103)),"")</f>
        <v/>
      </c>
      <c r="I91" s="18" t="str">
        <f t="shared" ref="I91:I103" si="39">IFERROR(((1000*SMALL($F$90:$F$103,1)/F91)),"")</f>
        <v/>
      </c>
      <c r="J91" s="17" t="str">
        <f t="shared" ref="J91:J103" si="40">IF(E91="","",IF(F91&gt;=2*SMALL($F$90:$F$103,1),0,1000-((F91-SMALL($F$90:$F$103,1))/SMALL($F$90:$F$103,1)*100)))</f>
        <v/>
      </c>
      <c r="K91" s="16" t="str">
        <f t="shared" ref="K91:K103" si="41">IFERROR((1000-MINUTE(F91-SMALL($F$90:$F$103,1))),"~")</f>
        <v>~</v>
      </c>
    </row>
    <row r="92" spans="1:11" x14ac:dyDescent="0.25">
      <c r="A92">
        <v>3</v>
      </c>
      <c r="B92" t="s">
        <v>71</v>
      </c>
      <c r="C92" t="s">
        <v>72</v>
      </c>
      <c r="D92">
        <f>VLOOKUP(C92,Lookups!$E$2:$F$47,2,FALSE)</f>
        <v>0.6</v>
      </c>
      <c r="E92" s="30"/>
      <c r="F92" s="29" t="str">
        <f t="shared" si="37"/>
        <v/>
      </c>
      <c r="G92" t="str">
        <f>IF(F92="","",_xlfn.RANK.EQ(F92,$F$90:$F$103,1)+COUNTIF($F$90:F105,F92)-1)</f>
        <v/>
      </c>
      <c r="H92" s="19" t="str">
        <f t="shared" si="38"/>
        <v/>
      </c>
      <c r="I92" s="18" t="str">
        <f t="shared" si="39"/>
        <v/>
      </c>
      <c r="J92" s="17" t="str">
        <f t="shared" si="40"/>
        <v/>
      </c>
      <c r="K92" s="16" t="str">
        <f t="shared" si="41"/>
        <v>~</v>
      </c>
    </row>
    <row r="93" spans="1:11" x14ac:dyDescent="0.25">
      <c r="B93" t="s">
        <v>120</v>
      </c>
      <c r="C93" t="s">
        <v>72</v>
      </c>
      <c r="D93">
        <f>VLOOKUP(C93,Lookups!$E$2:$F$47,2,FALSE)</f>
        <v>0.6</v>
      </c>
      <c r="E93" s="30"/>
      <c r="F93" s="29" t="str">
        <f t="shared" ref="F93:F97" si="42">IF(E93="","",E93*D93)</f>
        <v/>
      </c>
      <c r="G93" t="str">
        <f>IF(F93="","",_xlfn.RANK.EQ(F93,$F$90:$F$103,1)+COUNTIF($F$90:F106,F93)-1)</f>
        <v/>
      </c>
      <c r="H93" s="19" t="str">
        <f t="shared" ref="H93:H97" si="43">IFERROR((1000+200*(AVERAGE($F$90:$F$103)-F93)/_xlfn.STDEV.P($F$90:$F$103)),"")</f>
        <v/>
      </c>
      <c r="I93" s="18" t="str">
        <f t="shared" ref="I93:I97" si="44">IFERROR(((1000*SMALL($F$90:$F$103,1)/F93)),"")</f>
        <v/>
      </c>
      <c r="J93" s="17" t="str">
        <f t="shared" ref="J93:J97" si="45">IF(E93="","",IF(F93&gt;=2*SMALL($F$90:$F$103,1),0,1000-((F93-SMALL($F$90:$F$103,1))/SMALL($F$90:$F$103,1)*100)))</f>
        <v/>
      </c>
      <c r="K93" s="16" t="str">
        <f t="shared" ref="K93:K97" si="46">IFERROR((1000-MINUTE(F93-SMALL($F$90:$F$103,1))),"~")</f>
        <v>~</v>
      </c>
    </row>
    <row r="94" spans="1:11" x14ac:dyDescent="0.25">
      <c r="B94" t="s">
        <v>122</v>
      </c>
      <c r="C94" t="s">
        <v>66</v>
      </c>
      <c r="D94">
        <f>VLOOKUP(C94,Lookups!$E$2:$F$47,2,FALSE)</f>
        <v>0.57999999999999996</v>
      </c>
      <c r="E94" s="30"/>
      <c r="F94" s="29" t="str">
        <f t="shared" si="42"/>
        <v/>
      </c>
      <c r="G94" t="str">
        <f>IF(F94="","",_xlfn.RANK.EQ(F94,$F$90:$F$103,1)+COUNTIF($F$90:F107,F94)-1)</f>
        <v/>
      </c>
      <c r="H94" s="19" t="str">
        <f t="shared" si="43"/>
        <v/>
      </c>
      <c r="I94" s="18" t="str">
        <f t="shared" si="44"/>
        <v/>
      </c>
      <c r="J94" s="17" t="str">
        <f t="shared" si="45"/>
        <v/>
      </c>
      <c r="K94" s="16" t="str">
        <f t="shared" si="46"/>
        <v>~</v>
      </c>
    </row>
    <row r="95" spans="1:11" x14ac:dyDescent="0.25">
      <c r="B95" t="s">
        <v>121</v>
      </c>
      <c r="C95" t="s">
        <v>72</v>
      </c>
      <c r="D95">
        <f>VLOOKUP(C95,Lookups!$E$2:$F$47,2,FALSE)</f>
        <v>0.6</v>
      </c>
      <c r="E95" s="30"/>
      <c r="F95" s="29" t="str">
        <f t="shared" si="42"/>
        <v/>
      </c>
      <c r="G95" t="str">
        <f>IF(F95="","",_xlfn.RANK.EQ(F95,$F$90:$F$103,1)+COUNTIF($F$90:F108,F95)-1)</f>
        <v/>
      </c>
      <c r="H95" s="19" t="str">
        <f t="shared" si="43"/>
        <v/>
      </c>
      <c r="I95" s="18" t="str">
        <f t="shared" si="44"/>
        <v/>
      </c>
      <c r="J95" s="17" t="str">
        <f t="shared" si="45"/>
        <v/>
      </c>
      <c r="K95" s="16" t="str">
        <f t="shared" si="46"/>
        <v>~</v>
      </c>
    </row>
    <row r="96" spans="1:11" x14ac:dyDescent="0.25">
      <c r="A96">
        <v>4</v>
      </c>
      <c r="B96" t="s">
        <v>83</v>
      </c>
      <c r="C96" t="s">
        <v>66</v>
      </c>
      <c r="D96">
        <f>VLOOKUP(C96,Lookups!$E$2:$F$47,2,FALSE)</f>
        <v>0.57999999999999996</v>
      </c>
      <c r="E96" s="30"/>
      <c r="F96" s="29" t="str">
        <f t="shared" si="42"/>
        <v/>
      </c>
      <c r="G96" t="str">
        <f>IF(F96="","",_xlfn.RANK.EQ(F96,$F$90:$F$103,1)+COUNTIF($F$90:F109,F96)-1)</f>
        <v/>
      </c>
      <c r="H96" s="19" t="str">
        <f t="shared" si="43"/>
        <v/>
      </c>
      <c r="I96" s="18" t="str">
        <f t="shared" si="44"/>
        <v/>
      </c>
      <c r="J96" s="17" t="str">
        <f t="shared" si="45"/>
        <v/>
      </c>
      <c r="K96" s="16" t="str">
        <f t="shared" si="46"/>
        <v>~</v>
      </c>
    </row>
    <row r="97" spans="1:11" x14ac:dyDescent="0.25">
      <c r="A97">
        <v>4</v>
      </c>
      <c r="B97" t="s">
        <v>84</v>
      </c>
      <c r="C97" t="s">
        <v>49</v>
      </c>
      <c r="D97">
        <f>VLOOKUP(C97,Lookups!$E$2:$F$47,2,FALSE)</f>
        <v>0.7</v>
      </c>
      <c r="E97" s="30"/>
      <c r="F97" s="29" t="str">
        <f t="shared" si="42"/>
        <v/>
      </c>
      <c r="G97" t="str">
        <f>IF(F97="","",_xlfn.RANK.EQ(F97,$F$90:$F$103,1)+COUNTIF($F$90:F110,F97)-1)</f>
        <v/>
      </c>
      <c r="H97" s="19" t="str">
        <f t="shared" si="43"/>
        <v/>
      </c>
      <c r="I97" s="18" t="str">
        <f t="shared" si="44"/>
        <v/>
      </c>
      <c r="J97" s="17" t="str">
        <f t="shared" si="45"/>
        <v/>
      </c>
      <c r="K97" s="16" t="str">
        <f t="shared" si="46"/>
        <v>~</v>
      </c>
    </row>
    <row r="98" spans="1:11" x14ac:dyDescent="0.25">
      <c r="A98">
        <v>6</v>
      </c>
      <c r="B98" t="s">
        <v>85</v>
      </c>
      <c r="C98" t="s">
        <v>72</v>
      </c>
      <c r="D98">
        <f>VLOOKUP(C98,Lookups!$E$2:$F$47,2,FALSE)</f>
        <v>0.6</v>
      </c>
      <c r="E98" s="30"/>
      <c r="F98" s="29" t="str">
        <f t="shared" si="37"/>
        <v/>
      </c>
      <c r="G98" t="str">
        <f>IF(F98="","",_xlfn.RANK.EQ(F98,$F$90:$F$103,1)+COUNTIF($F$90:F108,F98)-1)</f>
        <v/>
      </c>
      <c r="H98" s="19" t="str">
        <f t="shared" si="38"/>
        <v/>
      </c>
      <c r="I98" s="18" t="str">
        <f t="shared" si="39"/>
        <v/>
      </c>
      <c r="J98" s="17" t="str">
        <f t="shared" si="40"/>
        <v/>
      </c>
      <c r="K98" s="16" t="str">
        <f t="shared" si="41"/>
        <v>~</v>
      </c>
    </row>
    <row r="99" spans="1:11" x14ac:dyDescent="0.25">
      <c r="A99">
        <v>7</v>
      </c>
      <c r="B99" t="s">
        <v>57</v>
      </c>
      <c r="C99" t="s">
        <v>49</v>
      </c>
      <c r="D99">
        <f>VLOOKUP(C99,Lookups!$E$2:$F$47,2,FALSE)</f>
        <v>0.7</v>
      </c>
      <c r="E99" s="30"/>
      <c r="F99" s="29" t="str">
        <f t="shared" si="37"/>
        <v/>
      </c>
      <c r="G99" t="str">
        <f>IF(F99="","",_xlfn.RANK.EQ(F99,$F$90:$F$103,1)+COUNTIF($F$90:F109,F99)-1)</f>
        <v/>
      </c>
      <c r="H99" s="19" t="str">
        <f t="shared" si="38"/>
        <v/>
      </c>
      <c r="I99" s="18" t="str">
        <f t="shared" si="39"/>
        <v/>
      </c>
      <c r="J99" s="17" t="str">
        <f t="shared" si="40"/>
        <v/>
      </c>
      <c r="K99" s="16" t="str">
        <f t="shared" si="41"/>
        <v>~</v>
      </c>
    </row>
    <row r="100" spans="1:11" x14ac:dyDescent="0.25">
      <c r="A100">
        <v>8</v>
      </c>
      <c r="B100" t="s">
        <v>112</v>
      </c>
      <c r="C100" t="s">
        <v>17</v>
      </c>
      <c r="D100">
        <f>VLOOKUP(C100,Lookups!$E$2:$F$47,2,FALSE)</f>
        <v>0.7</v>
      </c>
      <c r="E100" s="30"/>
      <c r="F100" s="29" t="str">
        <f t="shared" si="37"/>
        <v/>
      </c>
      <c r="G100" t="str">
        <f>IF(F100="","",_xlfn.RANK.EQ(F100,$F$90:$F$103,1)+COUNTIF($F$90:F110,F100)-1)</f>
        <v/>
      </c>
      <c r="H100" s="19" t="str">
        <f t="shared" si="38"/>
        <v/>
      </c>
      <c r="I100" s="18" t="str">
        <f t="shared" si="39"/>
        <v/>
      </c>
      <c r="J100" s="17" t="str">
        <f t="shared" si="40"/>
        <v/>
      </c>
      <c r="K100" s="16" t="str">
        <f t="shared" si="41"/>
        <v>~</v>
      </c>
    </row>
    <row r="101" spans="1:11" x14ac:dyDescent="0.25">
      <c r="A101">
        <v>9</v>
      </c>
      <c r="B101" t="s">
        <v>87</v>
      </c>
      <c r="C101" t="s">
        <v>72</v>
      </c>
      <c r="D101">
        <f>VLOOKUP(C101,Lookups!$E$2:$F$47,2,FALSE)</f>
        <v>0.6</v>
      </c>
      <c r="E101" s="30"/>
      <c r="F101" s="29" t="str">
        <f t="shared" si="37"/>
        <v/>
      </c>
      <c r="G101" t="str">
        <f>IF(F101="","",_xlfn.RANK.EQ(F101,$F$90:$F$103,1)+COUNTIF($F$90:F111,F101)-1)</f>
        <v/>
      </c>
      <c r="H101" s="19" t="str">
        <f t="shared" si="38"/>
        <v/>
      </c>
      <c r="I101" s="18" t="str">
        <f t="shared" si="39"/>
        <v/>
      </c>
      <c r="J101" s="17" t="str">
        <f t="shared" si="40"/>
        <v/>
      </c>
      <c r="K101" s="16" t="str">
        <f t="shared" si="41"/>
        <v>~</v>
      </c>
    </row>
    <row r="102" spans="1:11" x14ac:dyDescent="0.25">
      <c r="A102">
        <v>9</v>
      </c>
      <c r="B102" t="s">
        <v>88</v>
      </c>
      <c r="C102" t="s">
        <v>66</v>
      </c>
      <c r="D102">
        <f>VLOOKUP(C102,Lookups!$E$2:$F$47,2,FALSE)</f>
        <v>0.57999999999999996</v>
      </c>
      <c r="E102" s="30"/>
      <c r="F102" s="29" t="str">
        <f t="shared" si="37"/>
        <v/>
      </c>
      <c r="G102" t="str">
        <f>IF(F102="","",_xlfn.RANK.EQ(F102,$F$90:$F$103,1)+COUNTIF($F$90:F112,F102)-1)</f>
        <v/>
      </c>
      <c r="H102" s="19" t="str">
        <f t="shared" si="38"/>
        <v/>
      </c>
      <c r="I102" s="18" t="str">
        <f t="shared" si="39"/>
        <v/>
      </c>
      <c r="J102" s="17" t="str">
        <f t="shared" si="40"/>
        <v/>
      </c>
      <c r="K102" s="16" t="str">
        <f t="shared" si="41"/>
        <v>~</v>
      </c>
    </row>
    <row r="103" spans="1:11" x14ac:dyDescent="0.25">
      <c r="A103">
        <v>9</v>
      </c>
      <c r="B103" t="s">
        <v>89</v>
      </c>
      <c r="C103" t="s">
        <v>72</v>
      </c>
      <c r="D103">
        <f>VLOOKUP(C103,Lookups!$E$2:$F$47,2,FALSE)</f>
        <v>0.6</v>
      </c>
      <c r="E103" s="30"/>
      <c r="F103" s="29" t="str">
        <f t="shared" si="37"/>
        <v/>
      </c>
      <c r="G103" t="str">
        <f>IF(F103="","",_xlfn.RANK.EQ(F103,$F$90:$F$103,1)+COUNTIF($F$90:F113,F103)-1)</f>
        <v/>
      </c>
      <c r="H103" s="19" t="str">
        <f t="shared" si="38"/>
        <v/>
      </c>
      <c r="I103" s="18" t="str">
        <f t="shared" si="39"/>
        <v/>
      </c>
      <c r="J103" s="17" t="str">
        <f t="shared" si="40"/>
        <v/>
      </c>
      <c r="K103" s="16" t="str">
        <f t="shared" si="41"/>
        <v>~</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Tables</vt:lpstr>
      <vt:lpstr>Teifi</vt:lpstr>
      <vt:lpstr>Hafren</vt:lpstr>
      <vt:lpstr>Carneddau</vt:lpstr>
      <vt:lpstr>Foel_Goch</vt:lpstr>
      <vt:lpstr>Gwanas</vt:lpstr>
      <vt:lpstr>Maenarthur</vt:lpstr>
      <vt:lpstr>Allt_Goch</vt:lpstr>
      <vt:lpstr>Mathrafal</vt:lpstr>
      <vt:lpstr>Lookups</vt:lpstr>
      <vt:lpstr>Tables!Print_Area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steve_walsh@talk21.com</dc:creator>
  <cp:lastModifiedBy>steve_000</cp:lastModifiedBy>
  <cp:lastPrinted>2015-12-12T20:04:11Z</cp:lastPrinted>
  <dcterms:created xsi:type="dcterms:W3CDTF">2014-12-08T22:07:11Z</dcterms:created>
  <dcterms:modified xsi:type="dcterms:W3CDTF">2015-12-13T14:33:22Z</dcterms:modified>
</cp:coreProperties>
</file>